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6380" windowHeight="8190" tabRatio="302" activeTab="0"/>
  </bookViews>
  <sheets>
    <sheet name="ADG_Ung_Werte_2014-05" sheetId="1" r:id="rId1"/>
    <sheet name="Tabelle3" sheetId="3" r:id="rId2"/>
  </sheets>
  <definedNames>
    <definedName name="_xlnm.Print_Area" localSheetId="0">'ADG_Ung_Werte_2014-05'!$A$1:$R$52</definedName>
  </definedNames>
  <calcPr calcId="145621"/>
</workbook>
</file>

<file path=xl/sharedStrings.xml><?xml version="1.0" encoding="utf-8"?>
<sst xmlns="http://schemas.openxmlformats.org/spreadsheetml/2006/main" count="143" uniqueCount="76">
  <si>
    <t>Anmerkungen:</t>
  </si>
  <si>
    <t xml:space="preserve"> Saldo</t>
  </si>
  <si>
    <t>zuzüglich</t>
  </si>
  <si>
    <t>Kostenpauschalen</t>
  </si>
  <si>
    <t>Bundestag</t>
  </si>
  <si>
    <t>DBB **</t>
  </si>
  <si>
    <t>wabro **</t>
  </si>
  <si>
    <t>Destatis **</t>
  </si>
  <si>
    <t xml:space="preserve"> </t>
  </si>
  <si>
    <t>Faktor</t>
  </si>
  <si>
    <t>Erhöhung</t>
  </si>
  <si>
    <t>Zinseszins</t>
  </si>
  <si>
    <t>Prozentual und Absolut-Werte Brutto (€)</t>
  </si>
  <si>
    <t>Beamte</t>
  </si>
  <si>
    <t>Inflation</t>
  </si>
  <si>
    <t>BMI</t>
  </si>
  <si>
    <t xml:space="preserve"> *</t>
  </si>
  <si>
    <t>+Einmalzahlungen,+Weihnachtsgeld</t>
  </si>
  <si>
    <t>C</t>
  </si>
  <si>
    <t>G</t>
  </si>
  <si>
    <t>H</t>
  </si>
  <si>
    <t>L</t>
  </si>
  <si>
    <t>P</t>
  </si>
  <si>
    <t>Renten</t>
  </si>
  <si>
    <t>Pensionen</t>
  </si>
  <si>
    <t>Diäten</t>
  </si>
  <si>
    <t>Einkommen</t>
  </si>
  <si>
    <t>- Diäten, Beamten-Bezüge, Pensions-/Rentenerhöhungen werden von Politikern und Beamten beschlossen, die selbst keine Beiträge für die Altersversorgung bezahlen.</t>
  </si>
  <si>
    <t xml:space="preserve">Zusatztabelle für eigene variable Vergleichs-Berechnungen (Excel)*** (ggf. kleine Rundungsdifferenzen) </t>
  </si>
  <si>
    <t>DRV*</t>
  </si>
  <si>
    <t>*** Es wurde eine Zusatztabelle zur Eingabe (violett) der eigenen Rente 2013 und Vergleichsjahr (z. B. Renten-Beginn) zur Berechnung der eigenen Renten-Erhöhungen angefügt.</t>
  </si>
  <si>
    <t>Prozen-</t>
  </si>
  <si>
    <t>tuale</t>
  </si>
  <si>
    <t>Jahr 1999</t>
  </si>
  <si>
    <t>bis 2013</t>
  </si>
  <si>
    <t>zum 1.7.</t>
  </si>
  <si>
    <t xml:space="preserve"> in €</t>
  </si>
  <si>
    <t>Rente</t>
  </si>
  <si>
    <t>Monatlich</t>
  </si>
  <si>
    <t>nen zu</t>
  </si>
  <si>
    <t>Pensio</t>
  </si>
  <si>
    <t>Pension</t>
  </si>
  <si>
    <t>Brutto-Entgelt</t>
  </si>
  <si>
    <t>DRV Brutto-Entgelte West</t>
  </si>
  <si>
    <t>Politiker</t>
  </si>
  <si>
    <t xml:space="preserve">- In Euro waren diese Einkommenserhöhungen 3 bis 5 mal so hoch wie bei den Renten; bei den Diäten noch höher. Nur 21% der Rentner bekommen im Durchschnitt 471 € Betriebsrente*. </t>
  </si>
  <si>
    <t>- Gesetzl.Renten (beitragsabhängig) - Mindest-Rente: 0 € - Durchschn.Rente: 1.033 € - Standard-Rente (45 Jahre Durchschn.Verdienst): 1.263 € - Maximal-Rente (45 Jahre Höchstbeitrag): 2.313 €.</t>
  </si>
  <si>
    <t>- Rentenerhöhungen waren in den letzten 14 Jahren prozentual nur ca. halb so hoch wie die Inflation, Einkommenserhöhungen der versicherungspflichtig Beschäftigten, der Beamten und Politiker.</t>
  </si>
  <si>
    <t>- Rentner sind von Einkommensentwicklung abgekoppelt (Kürzungsfaktoren), bekommen Versicherungszeiten weniger anerkannt und müssen jetzt die Renten zu einem höheren Anteil versteuern.</t>
  </si>
  <si>
    <t xml:space="preserve">     Die Berechnung kann mit dem Excel-Programm auf der ADG-Homepage (www.adg-ev.de; Suchbegriff: Ungerechtigkeitstabelle ADG) durchgeführt werden. Siehe auch Grafik.</t>
  </si>
  <si>
    <t xml:space="preserve">*   DRV Basiswerte: aus "DRV Rentenversicherung in Zahlen 2013": z.B. S.71 für 2011 gesetzliche Renten West 1.008 € und Beamtenversorgung West 2.407 €; Brutto-Entgelte 2.675 € (S.14) . </t>
  </si>
  <si>
    <t>- Beamten-Pensionen (je Jahr 1,79375%, bis 71,75% vom letzten Brutto) - Mindest-Pension: 1.500 € - Durchschnitts-Pension (A10): 2.500 € - Pension A13: 3.487 € - Hoechst-Pension A16: 4.771 €.</t>
  </si>
  <si>
    <t>Politiker Diäten Bundestag</t>
  </si>
  <si>
    <t>DRV Renten West (DRV*)</t>
  </si>
  <si>
    <t>Beamte Bund Pensionsbezüge West</t>
  </si>
  <si>
    <t>Bundestag (B5)</t>
  </si>
  <si>
    <t>Diäten (B5)</t>
  </si>
  <si>
    <t xml:space="preserve">Politiker </t>
  </si>
  <si>
    <t>I</t>
  </si>
  <si>
    <t>Brutto-</t>
  </si>
  <si>
    <t>Entgelte</t>
  </si>
  <si>
    <t>E</t>
  </si>
  <si>
    <t>€</t>
  </si>
  <si>
    <t>%</t>
  </si>
  <si>
    <t>Renten Beginn</t>
  </si>
  <si>
    <t>Soll-Wert gem. Inflation</t>
  </si>
  <si>
    <t>Soll Erhöhung</t>
  </si>
  <si>
    <t>gem. Inflation</t>
  </si>
  <si>
    <t>Verlust zur Inflation</t>
  </si>
  <si>
    <t>Altersversorgung - Orientierungswerte "Vergleich Renten- / Einkommens- / Pensions- / Diäten-Erhöhungen 1999 bis 2013" (Ungerechtigkeitstabelle ADG)</t>
  </si>
  <si>
    <t>Durchschn.</t>
  </si>
  <si>
    <t>- Politiker-Pensionen (je Jahr 2,5%; bis 67,5% von Diät (Besold.B5)) - nach 8 Jahren 20% = 1.650 € - nach 16 Jahre 40% = 3.301 €; nach 27 Jahren 67,5% = 5.570 €; mit 57 Jahren ohne Abzüge.</t>
  </si>
  <si>
    <t>Mai 2014   -   www.adg-ev.de</t>
  </si>
  <si>
    <t>Grafik siehe: E050 1405 3 - MN</t>
  </si>
  <si>
    <t>L004 1405 3</t>
  </si>
  <si>
    <t>**  Prozentwerte wurden zum Teil übernommen aus “Erste Deutsche Ungerechtigkeitstabelle” von Walter Bromberger, Braunschweiger Appell für Rentengerechtigkeit, vom 19.04.2013.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</si>
</sst>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0\ &quot;€&quot;"/>
  </numFmts>
  <fonts count="6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left"/>
    </xf>
    <xf numFmtId="166" fontId="0" fillId="0" borderId="0" xfId="0" applyNumberFormat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166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10" fontId="0" fillId="0" borderId="8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0" borderId="12" xfId="0" applyNumberFormat="1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>
      <alignment horizontal="left"/>
    </xf>
    <xf numFmtId="166" fontId="4" fillId="4" borderId="1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/>
    <xf numFmtId="0" fontId="4" fillId="4" borderId="1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16" xfId="0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6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0" xfId="0" applyFont="1"/>
    <xf numFmtId="10" fontId="0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" fontId="0" fillId="5" borderId="17" xfId="0" applyNumberFormat="1" applyFont="1" applyFill="1" applyBorder="1" applyAlignment="1">
      <alignment horizontal="center"/>
    </xf>
    <xf numFmtId="10" fontId="0" fillId="5" borderId="13" xfId="0" applyNumberFormat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6" fontId="0" fillId="6" borderId="18" xfId="0" applyNumberFormat="1" applyFont="1" applyFill="1" applyBorder="1" applyAlignment="1">
      <alignment horizontal="right"/>
    </xf>
    <xf numFmtId="166" fontId="0" fillId="6" borderId="0" xfId="0" applyNumberFormat="1" applyFill="1" applyBorder="1" applyAlignment="1">
      <alignment horizontal="right"/>
    </xf>
    <xf numFmtId="164" fontId="0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19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0" fillId="7" borderId="20" xfId="0" applyNumberFormat="1" applyFont="1" applyFill="1" applyBorder="1" applyAlignment="1" applyProtection="1">
      <alignment horizontal="center"/>
      <protection locked="0"/>
    </xf>
    <xf numFmtId="166" fontId="0" fillId="7" borderId="2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4" fontId="0" fillId="3" borderId="11" xfId="0" applyNumberForma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/>
    <xf numFmtId="0" fontId="0" fillId="0" borderId="0" xfId="0" applyFont="1" applyFill="1" applyBorder="1" applyAlignment="1">
      <alignment horizontal="left"/>
    </xf>
    <xf numFmtId="10" fontId="0" fillId="0" borderId="3" xfId="0" applyNumberFormat="1" applyBorder="1" applyAlignment="1">
      <alignment horizontal="center"/>
    </xf>
    <xf numFmtId="10" fontId="0" fillId="2" borderId="4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10" fontId="0" fillId="0" borderId="6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0" fillId="3" borderId="21" xfId="0" applyNumberFormat="1" applyFont="1" applyFill="1" applyBorder="1" applyAlignment="1">
      <alignment horizontal="center"/>
    </xf>
    <xf numFmtId="10" fontId="0" fillId="5" borderId="22" xfId="0" applyNumberFormat="1" applyFont="1" applyFill="1" applyBorder="1" applyAlignment="1">
      <alignment horizontal="center"/>
    </xf>
    <xf numFmtId="10" fontId="0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164" fontId="4" fillId="4" borderId="19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/>
    </xf>
    <xf numFmtId="10" fontId="0" fillId="0" borderId="13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2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66" fontId="0" fillId="0" borderId="24" xfId="0" applyNumberFormat="1" applyFont="1" applyBorder="1" applyAlignment="1">
      <alignment horizontal="right"/>
    </xf>
    <xf numFmtId="10" fontId="0" fillId="0" borderId="25" xfId="0" applyNumberFormat="1" applyBorder="1" applyAlignment="1">
      <alignment horizontal="center"/>
    </xf>
    <xf numFmtId="166" fontId="0" fillId="0" borderId="26" xfId="0" applyNumberFormat="1" applyFont="1" applyFill="1" applyBorder="1" applyAlignment="1" applyProtection="1">
      <alignment horizontal="center"/>
      <protection/>
    </xf>
    <xf numFmtId="2" fontId="0" fillId="0" borderId="19" xfId="0" applyNumberFormat="1" applyFont="1" applyFill="1" applyBorder="1" applyAlignment="1">
      <alignment horizontal="center"/>
    </xf>
    <xf numFmtId="10" fontId="0" fillId="0" borderId="23" xfId="0" applyNumberFormat="1" applyFont="1" applyFill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10" fontId="1" fillId="0" borderId="3" xfId="0" applyNumberFormat="1" applyFont="1" applyFill="1" applyBorder="1" applyAlignment="1">
      <alignment horizontal="center" wrapText="1"/>
    </xf>
    <xf numFmtId="166" fontId="0" fillId="0" borderId="2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10" fontId="2" fillId="0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0" fontId="2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/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Border="1" applyAlignment="1">
      <alignment horizontal="left"/>
    </xf>
    <xf numFmtId="49" fontId="0" fillId="0" borderId="0" xfId="0" applyNumberFormat="1" applyAlignment="1">
      <alignment vertical="top" readingOrder="1"/>
    </xf>
    <xf numFmtId="49" fontId="0" fillId="0" borderId="0" xfId="0" applyNumberFormat="1" applyAlignment="1">
      <alignment horizontal="left" vertical="top" readingOrder="1"/>
    </xf>
    <xf numFmtId="49" fontId="0" fillId="0" borderId="0" xfId="0" applyNumberFormat="1" applyFont="1" applyAlignment="1">
      <alignment horizontal="left" vertical="top" readingOrder="1"/>
    </xf>
    <xf numFmtId="49" fontId="0" fillId="0" borderId="0" xfId="0" applyNumberFormat="1" applyFill="1" applyAlignment="1">
      <alignment horizontal="left" vertical="top" readingOrder="1"/>
    </xf>
    <xf numFmtId="49" fontId="0" fillId="0" borderId="0" xfId="0" applyNumberFormat="1" applyFill="1" applyBorder="1" applyAlignment="1">
      <alignment horizontal="left" vertical="top" readingOrder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166" fontId="0" fillId="6" borderId="18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right"/>
    </xf>
    <xf numFmtId="166" fontId="0" fillId="0" borderId="0" xfId="0" applyNumberFormat="1" applyFont="1" applyFill="1"/>
    <xf numFmtId="166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164" fontId="2" fillId="0" borderId="19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4" fillId="4" borderId="23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10" fontId="2" fillId="0" borderId="8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0</xdr:row>
      <xdr:rowOff>28575</xdr:rowOff>
    </xdr:from>
    <xdr:to>
      <xdr:col>16</xdr:col>
      <xdr:colOff>342900</xdr:colOff>
      <xdr:row>2</xdr:row>
      <xdr:rowOff>47625</xdr:rowOff>
    </xdr:to>
    <xdr:pic>
      <xdr:nvPicPr>
        <xdr:cNvPr id="4" name="Picture 10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96475" y="28575"/>
          <a:ext cx="6762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tabSelected="1" zoomScale="85" zoomScaleNormal="85" workbookViewId="0" topLeftCell="A1">
      <selection activeCell="A32" sqref="A32"/>
    </sheetView>
  </sheetViews>
  <sheetFormatPr defaultColWidth="11.421875" defaultRowHeight="12.75"/>
  <cols>
    <col min="1" max="1" width="9.421875" style="1" customWidth="1"/>
    <col min="2" max="2" width="8.57421875" style="30" customWidth="1"/>
    <col min="3" max="3" width="8.421875" style="30" customWidth="1"/>
    <col min="4" max="4" width="9.8515625" style="30" customWidth="1"/>
    <col min="5" max="5" width="8.421875" style="30" customWidth="1"/>
    <col min="6" max="6" width="8.8515625" style="30" customWidth="1"/>
    <col min="7" max="7" width="11.8515625" style="30" customWidth="1"/>
    <col min="8" max="8" width="9.140625" style="30" customWidth="1"/>
    <col min="9" max="9" width="9.140625" style="2" customWidth="1"/>
    <col min="10" max="10" width="9.421875" style="2" customWidth="1"/>
    <col min="11" max="11" width="12.140625" style="2" customWidth="1"/>
    <col min="12" max="12" width="8.140625" style="2" customWidth="1"/>
    <col min="13" max="13" width="9.421875" style="2" customWidth="1"/>
    <col min="14" max="14" width="11.8515625" style="2" customWidth="1"/>
    <col min="15" max="15" width="10.28125" style="30" customWidth="1"/>
    <col min="16" max="16" width="8.421875" style="30" customWidth="1"/>
    <col min="17" max="17" width="6.7109375" style="37" customWidth="1"/>
    <col min="18" max="18" width="1.7109375" style="0" customWidth="1"/>
    <col min="19" max="19" width="4.140625" style="73" customWidth="1"/>
    <col min="20" max="20" width="11.28125" style="8" hidden="1" customWidth="1"/>
    <col min="21" max="21" width="12.140625" style="8" hidden="1" customWidth="1"/>
    <col min="22" max="24" width="11.421875" style="7" hidden="1" customWidth="1"/>
    <col min="25" max="27" width="11.421875" style="0" hidden="1" customWidth="1"/>
  </cols>
  <sheetData>
    <row r="1" spans="1:14" ht="12.75">
      <c r="A1" s="31"/>
      <c r="B1" s="30" t="s">
        <v>8</v>
      </c>
      <c r="E1" s="30" t="s">
        <v>8</v>
      </c>
      <c r="I1" s="30"/>
      <c r="J1" s="30"/>
      <c r="K1" s="30"/>
      <c r="L1" s="30"/>
      <c r="M1" s="30"/>
      <c r="N1" s="30"/>
    </row>
    <row r="2" spans="1:24" s="121" customFormat="1" ht="12.75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7"/>
      <c r="S2" s="73"/>
      <c r="T2" s="8"/>
      <c r="U2" s="8"/>
      <c r="V2" s="7"/>
      <c r="W2" s="7"/>
      <c r="X2" s="7"/>
    </row>
    <row r="3" spans="1:24" s="121" customFormat="1" ht="12.75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7"/>
      <c r="S3" s="73"/>
      <c r="T3" s="8"/>
      <c r="U3" s="8"/>
      <c r="V3" s="7"/>
      <c r="W3" s="7"/>
      <c r="X3" s="7"/>
    </row>
    <row r="4" spans="1:24" s="28" customFormat="1" ht="15.5">
      <c r="A4" s="50" t="s">
        <v>69</v>
      </c>
      <c r="B4" s="26"/>
      <c r="C4" s="26"/>
      <c r="D4" s="26"/>
      <c r="E4" s="26"/>
      <c r="F4" s="26"/>
      <c r="G4" s="26"/>
      <c r="H4" s="26"/>
      <c r="I4" s="26"/>
      <c r="J4" s="27"/>
      <c r="K4" s="26"/>
      <c r="L4" s="26"/>
      <c r="M4" s="26"/>
      <c r="N4" s="26"/>
      <c r="O4" s="26"/>
      <c r="P4" s="26"/>
      <c r="S4" s="74"/>
      <c r="T4" s="99"/>
      <c r="U4" s="99"/>
      <c r="V4" s="63"/>
      <c r="W4" s="63"/>
      <c r="X4" s="63"/>
    </row>
    <row r="5" spans="1:16" ht="12.75">
      <c r="A5" s="51"/>
      <c r="B5" s="51"/>
      <c r="C5" s="51"/>
      <c r="D5" s="51"/>
      <c r="E5" s="51"/>
      <c r="F5" s="51"/>
      <c r="G5" s="51" t="s">
        <v>12</v>
      </c>
      <c r="H5" s="51"/>
      <c r="I5" s="51"/>
      <c r="J5" s="18"/>
      <c r="K5" s="18"/>
      <c r="L5" s="18"/>
      <c r="M5" s="18"/>
      <c r="N5" s="18"/>
      <c r="P5" s="51"/>
    </row>
    <row r="6" spans="1:14" ht="10.5" customHeight="1" thickBot="1">
      <c r="A6" s="31"/>
      <c r="I6" s="30"/>
      <c r="J6" s="30"/>
      <c r="K6" s="30"/>
      <c r="L6" s="30"/>
      <c r="M6" s="30"/>
      <c r="N6" s="30"/>
    </row>
    <row r="7" spans="1:26" s="10" customFormat="1" ht="14.5" thickBot="1">
      <c r="A7" s="118"/>
      <c r="B7" s="190" t="s">
        <v>53</v>
      </c>
      <c r="C7" s="191"/>
      <c r="D7" s="192"/>
      <c r="E7" s="190" t="s">
        <v>43</v>
      </c>
      <c r="F7" s="191"/>
      <c r="G7" s="192"/>
      <c r="H7" s="90" t="s">
        <v>13</v>
      </c>
      <c r="I7" s="190" t="s">
        <v>54</v>
      </c>
      <c r="J7" s="191"/>
      <c r="K7" s="192"/>
      <c r="L7" s="190" t="s">
        <v>52</v>
      </c>
      <c r="M7" s="191"/>
      <c r="N7" s="192"/>
      <c r="O7" s="90" t="s">
        <v>44</v>
      </c>
      <c r="P7" s="90" t="s">
        <v>14</v>
      </c>
      <c r="Q7" s="90" t="s">
        <v>9</v>
      </c>
      <c r="S7" s="75"/>
      <c r="T7" s="78" t="s">
        <v>19</v>
      </c>
      <c r="U7" s="78" t="s">
        <v>61</v>
      </c>
      <c r="V7" s="78" t="s">
        <v>18</v>
      </c>
      <c r="W7" s="78" t="s">
        <v>20</v>
      </c>
      <c r="X7" s="78" t="s">
        <v>58</v>
      </c>
      <c r="Y7" s="79" t="s">
        <v>21</v>
      </c>
      <c r="Z7" s="79" t="s">
        <v>22</v>
      </c>
    </row>
    <row r="8" spans="1:27" s="175" customFormat="1" ht="11.5">
      <c r="A8" s="164" t="s">
        <v>33</v>
      </c>
      <c r="B8" s="172" t="s">
        <v>31</v>
      </c>
      <c r="C8" s="196" t="s">
        <v>38</v>
      </c>
      <c r="D8" s="197"/>
      <c r="E8" s="172" t="s">
        <v>31</v>
      </c>
      <c r="F8" s="196" t="s">
        <v>38</v>
      </c>
      <c r="G8" s="197"/>
      <c r="H8" s="173" t="s">
        <v>31</v>
      </c>
      <c r="I8" s="172" t="s">
        <v>31</v>
      </c>
      <c r="J8" s="196" t="s">
        <v>38</v>
      </c>
      <c r="K8" s="197"/>
      <c r="L8" s="172" t="s">
        <v>31</v>
      </c>
      <c r="M8" s="196" t="s">
        <v>38</v>
      </c>
      <c r="N8" s="196"/>
      <c r="O8" s="164" t="s">
        <v>24</v>
      </c>
      <c r="P8" s="174" t="s">
        <v>31</v>
      </c>
      <c r="Q8" s="173" t="s">
        <v>40</v>
      </c>
      <c r="T8" s="176" t="s">
        <v>59</v>
      </c>
      <c r="U8" s="176" t="s">
        <v>59</v>
      </c>
      <c r="V8" s="101" t="s">
        <v>23</v>
      </c>
      <c r="W8" s="101" t="s">
        <v>13</v>
      </c>
      <c r="X8" s="101" t="s">
        <v>13</v>
      </c>
      <c r="Y8" s="177" t="s">
        <v>57</v>
      </c>
      <c r="Z8" s="156" t="s">
        <v>14</v>
      </c>
      <c r="AA8" s="156" t="s">
        <v>66</v>
      </c>
    </row>
    <row r="9" spans="1:27" s="175" customFormat="1" ht="11.5">
      <c r="A9" s="165" t="s">
        <v>34</v>
      </c>
      <c r="B9" s="178" t="s">
        <v>32</v>
      </c>
      <c r="C9" s="166" t="s">
        <v>10</v>
      </c>
      <c r="D9" s="167" t="s">
        <v>70</v>
      </c>
      <c r="E9" s="178" t="s">
        <v>32</v>
      </c>
      <c r="F9" s="166" t="s">
        <v>10</v>
      </c>
      <c r="G9" s="167" t="s">
        <v>70</v>
      </c>
      <c r="H9" s="179" t="s">
        <v>32</v>
      </c>
      <c r="I9" s="178" t="s">
        <v>32</v>
      </c>
      <c r="J9" s="166" t="s">
        <v>10</v>
      </c>
      <c r="K9" s="167" t="s">
        <v>70</v>
      </c>
      <c r="L9" s="178" t="s">
        <v>32</v>
      </c>
      <c r="M9" s="166" t="s">
        <v>10</v>
      </c>
      <c r="N9" s="168" t="s">
        <v>25</v>
      </c>
      <c r="O9" s="165" t="s">
        <v>4</v>
      </c>
      <c r="P9" s="180" t="s">
        <v>32</v>
      </c>
      <c r="Q9" s="179" t="s">
        <v>39</v>
      </c>
      <c r="T9" s="176" t="s">
        <v>60</v>
      </c>
      <c r="U9" s="176" t="s">
        <v>60</v>
      </c>
      <c r="V9" s="181" t="s">
        <v>10</v>
      </c>
      <c r="W9" s="181" t="s">
        <v>26</v>
      </c>
      <c r="X9" s="181" t="s">
        <v>24</v>
      </c>
      <c r="Y9" s="177" t="s">
        <v>25</v>
      </c>
      <c r="Z9" s="181"/>
      <c r="AA9" s="156" t="s">
        <v>67</v>
      </c>
    </row>
    <row r="10" spans="1:26" s="175" customFormat="1" ht="12" thickBot="1">
      <c r="A10" s="169" t="s">
        <v>35</v>
      </c>
      <c r="B10" s="182" t="s">
        <v>10</v>
      </c>
      <c r="C10" s="183" t="s">
        <v>36</v>
      </c>
      <c r="D10" s="170" t="s">
        <v>37</v>
      </c>
      <c r="E10" s="182" t="s">
        <v>10</v>
      </c>
      <c r="F10" s="183" t="s">
        <v>36</v>
      </c>
      <c r="G10" s="170" t="s">
        <v>42</v>
      </c>
      <c r="H10" s="184" t="s">
        <v>10</v>
      </c>
      <c r="I10" s="182" t="s">
        <v>10</v>
      </c>
      <c r="J10" s="183" t="s">
        <v>36</v>
      </c>
      <c r="K10" s="170" t="s">
        <v>41</v>
      </c>
      <c r="L10" s="182" t="s">
        <v>10</v>
      </c>
      <c r="M10" s="183" t="s">
        <v>36</v>
      </c>
      <c r="N10" s="171" t="s">
        <v>55</v>
      </c>
      <c r="O10" s="169">
        <v>0.675</v>
      </c>
      <c r="P10" s="185" t="s">
        <v>10</v>
      </c>
      <c r="Q10" s="184" t="s">
        <v>23</v>
      </c>
      <c r="T10" s="176" t="s">
        <v>62</v>
      </c>
      <c r="U10" s="181" t="s">
        <v>63</v>
      </c>
      <c r="V10" s="181"/>
      <c r="W10" s="181"/>
      <c r="X10" s="181"/>
      <c r="Y10" s="177"/>
      <c r="Z10" s="181"/>
    </row>
    <row r="11" spans="1:27" s="32" customFormat="1" ht="12.75">
      <c r="A11" s="112">
        <v>1999</v>
      </c>
      <c r="B11" s="114"/>
      <c r="C11" s="113"/>
      <c r="D11" s="97">
        <f>D23/V23</f>
        <v>905.9963826802914</v>
      </c>
      <c r="E11" s="114"/>
      <c r="F11" s="113"/>
      <c r="G11" s="97">
        <f>T11/12</f>
        <v>2279.807890597172</v>
      </c>
      <c r="H11" s="115"/>
      <c r="I11" s="116"/>
      <c r="J11" s="113"/>
      <c r="K11" s="97">
        <f>K23/X23</f>
        <v>2098.4185229154496</v>
      </c>
      <c r="L11" s="114"/>
      <c r="M11" s="113"/>
      <c r="N11" s="117">
        <v>6445</v>
      </c>
      <c r="O11" s="117">
        <f>$N11*O$10</f>
        <v>4350.375</v>
      </c>
      <c r="P11" s="115"/>
      <c r="Q11" s="89">
        <f aca="true" t="shared" si="0" ref="Q11:Q25">$K11/$D11</f>
        <v>2.3161444825061084</v>
      </c>
      <c r="T11" s="98">
        <f>53507/1.95583</f>
        <v>27357.694687166062</v>
      </c>
      <c r="U11" s="62">
        <v>1</v>
      </c>
      <c r="V11" s="62">
        <v>1</v>
      </c>
      <c r="W11" s="62">
        <v>1</v>
      </c>
      <c r="X11" s="62">
        <v>1</v>
      </c>
      <c r="Y11" s="62">
        <v>1</v>
      </c>
      <c r="Z11" s="62">
        <v>1</v>
      </c>
      <c r="AA11" s="153">
        <f>D11</f>
        <v>905.9963826802914</v>
      </c>
    </row>
    <row r="12" spans="1:27" ht="12.75">
      <c r="A12" s="16">
        <v>2000</v>
      </c>
      <c r="B12" s="66">
        <v>0.006</v>
      </c>
      <c r="C12" s="5">
        <f aca="true" t="shared" si="1" ref="C12:C25">D11*B12</f>
        <v>5.435978296081749</v>
      </c>
      <c r="D12" s="12">
        <f aca="true" t="shared" si="2" ref="D12:D22">D$11*V12</f>
        <v>911.4323609763732</v>
      </c>
      <c r="E12" s="66">
        <f>SUM(G12/G11-1)</f>
        <v>0.013998168463939198</v>
      </c>
      <c r="F12" s="5">
        <f aca="true" t="shared" si="3" ref="F12:F25">G11*E12</f>
        <v>31.913134917997077</v>
      </c>
      <c r="G12" s="97">
        <f aca="true" t="shared" si="4" ref="G12:G25">T12/12</f>
        <v>2311.721025515169</v>
      </c>
      <c r="H12" s="84">
        <v>0.028999999999999998</v>
      </c>
      <c r="I12" s="66">
        <v>0</v>
      </c>
      <c r="J12" s="5">
        <f aca="true" t="shared" si="5" ref="J12:J25">K11*I12</f>
        <v>0</v>
      </c>
      <c r="K12" s="12">
        <f aca="true" t="shared" si="6" ref="K12:K22">K$11*X12</f>
        <v>2098.4185229154496</v>
      </c>
      <c r="L12" s="13">
        <v>0.007</v>
      </c>
      <c r="M12" s="5">
        <f aca="true" t="shared" si="7" ref="M12:M25">N11*L12</f>
        <v>45.115</v>
      </c>
      <c r="N12" s="12">
        <f aca="true" t="shared" si="8" ref="N12:N25">N$11*Y12</f>
        <v>6490.114999999999</v>
      </c>
      <c r="O12" s="12">
        <f aca="true" t="shared" si="9" ref="O12:O25">$N12*O$10</f>
        <v>4380.827625</v>
      </c>
      <c r="P12" s="84">
        <v>0.014</v>
      </c>
      <c r="Q12" s="89">
        <f t="shared" si="0"/>
        <v>2.302330499509054</v>
      </c>
      <c r="T12" s="98">
        <f>54256/1.95583</f>
        <v>27740.65230618203</v>
      </c>
      <c r="U12" s="3">
        <f>(1+$E12)</f>
        <v>1.0139981684639392</v>
      </c>
      <c r="V12" s="3">
        <f>(1+$B12)</f>
        <v>1.006</v>
      </c>
      <c r="W12" s="3">
        <f>(1+$H12)</f>
        <v>1.029</v>
      </c>
      <c r="X12" s="3">
        <f>(1+$I12)</f>
        <v>1</v>
      </c>
      <c r="Y12" s="3">
        <f>(1+$L12)</f>
        <v>1.007</v>
      </c>
      <c r="Z12" s="3">
        <f>(1+$P12)</f>
        <v>1.014</v>
      </c>
      <c r="AA12" s="154">
        <f>AA$11*Z12</f>
        <v>918.6803320378154</v>
      </c>
    </row>
    <row r="13" spans="1:27" ht="12.75">
      <c r="A13" s="16">
        <v>2001</v>
      </c>
      <c r="B13" s="66">
        <v>0.01914</v>
      </c>
      <c r="C13" s="5">
        <f t="shared" si="1"/>
        <v>17.444815389087783</v>
      </c>
      <c r="D13" s="12">
        <f t="shared" si="2"/>
        <v>928.8771763654609</v>
      </c>
      <c r="E13" s="66">
        <f aca="true" t="shared" si="10" ref="E13:E25">SUM(G13/G12-1)</f>
        <v>0.017693895606016197</v>
      </c>
      <c r="F13" s="5">
        <f t="shared" si="3"/>
        <v>40.903350495698106</v>
      </c>
      <c r="G13" s="97">
        <f t="shared" si="4"/>
        <v>2352.624376010867</v>
      </c>
      <c r="H13" s="84">
        <v>0.018000000000000002</v>
      </c>
      <c r="I13" s="66">
        <v>0.018000000000000002</v>
      </c>
      <c r="J13" s="5">
        <f t="shared" si="5"/>
        <v>37.7715334124781</v>
      </c>
      <c r="K13" s="12">
        <f t="shared" si="6"/>
        <v>2136.190056327928</v>
      </c>
      <c r="L13" s="13">
        <v>0.019</v>
      </c>
      <c r="M13" s="5">
        <f t="shared" si="7"/>
        <v>123.31218499999997</v>
      </c>
      <c r="N13" s="12">
        <f t="shared" si="8"/>
        <v>6613.427184999999</v>
      </c>
      <c r="O13" s="12">
        <f t="shared" si="9"/>
        <v>4464.063349874999</v>
      </c>
      <c r="P13" s="84">
        <v>0.019</v>
      </c>
      <c r="Q13" s="89">
        <f t="shared" si="0"/>
        <v>2.2997551352122545</v>
      </c>
      <c r="T13" s="98">
        <f>55216/1.95583</f>
        <v>28231.4925121304</v>
      </c>
      <c r="U13" s="3">
        <f>(U12*(1+$E13))</f>
        <v>1.0319397462014317</v>
      </c>
      <c r="V13" s="3">
        <f>(V12*(1+$B13))</f>
        <v>1.02525484</v>
      </c>
      <c r="W13" s="3">
        <f aca="true" t="shared" si="11" ref="W13:W25">(W12*(1+$H13))</f>
        <v>1.0475219999999998</v>
      </c>
      <c r="X13" s="3">
        <f>(X12*(1+$I13))</f>
        <v>1.018</v>
      </c>
      <c r="Y13" s="3">
        <f>(Y12*(1+$L13))</f>
        <v>1.0261329999999997</v>
      </c>
      <c r="Z13" s="3">
        <f>(Z12*(1+$P13))</f>
        <v>1.033266</v>
      </c>
      <c r="AA13" s="154">
        <f aca="true" t="shared" si="12" ref="AA13:AA25">AA$11*Z13</f>
        <v>936.135258346534</v>
      </c>
    </row>
    <row r="14" spans="1:27" ht="12.75">
      <c r="A14" s="16">
        <v>2002</v>
      </c>
      <c r="B14" s="66">
        <v>0.02157</v>
      </c>
      <c r="C14" s="5">
        <f t="shared" si="1"/>
        <v>20.03588069420299</v>
      </c>
      <c r="D14" s="12">
        <f t="shared" si="2"/>
        <v>948.9130570596639</v>
      </c>
      <c r="E14" s="66">
        <f t="shared" si="10"/>
        <v>0.013974021660388303</v>
      </c>
      <c r="F14" s="5">
        <f t="shared" si="3"/>
        <v>32.875623989133366</v>
      </c>
      <c r="G14" s="97">
        <f t="shared" si="4"/>
        <v>2385.5</v>
      </c>
      <c r="H14" s="84">
        <v>0.022000000000000002</v>
      </c>
      <c r="I14" s="66">
        <v>0.022000000000000002</v>
      </c>
      <c r="J14" s="5">
        <f t="shared" si="5"/>
        <v>46.996181239214415</v>
      </c>
      <c r="K14" s="12">
        <f t="shared" si="6"/>
        <v>2183.186237567142</v>
      </c>
      <c r="L14" s="13">
        <v>0.04</v>
      </c>
      <c r="M14" s="5">
        <f t="shared" si="7"/>
        <v>264.53708739999996</v>
      </c>
      <c r="N14" s="12">
        <f t="shared" si="8"/>
        <v>6877.964272399999</v>
      </c>
      <c r="O14" s="12">
        <f t="shared" si="9"/>
        <v>4642.62588387</v>
      </c>
      <c r="P14" s="84">
        <v>0.015</v>
      </c>
      <c r="Q14" s="89">
        <f t="shared" si="0"/>
        <v>2.3007231498447727</v>
      </c>
      <c r="T14" s="9">
        <v>28626</v>
      </c>
      <c r="U14" s="3">
        <f aca="true" t="shared" si="13" ref="U14:U25">(U13*(1+$E14))</f>
        <v>1.0463600945670661</v>
      </c>
      <c r="V14" s="3">
        <f aca="true" t="shared" si="14" ref="V14:V25">(V13*(1+$B14))</f>
        <v>1.0473695868988</v>
      </c>
      <c r="W14" s="3">
        <f t="shared" si="11"/>
        <v>1.070567484</v>
      </c>
      <c r="X14" s="3">
        <f aca="true" t="shared" si="15" ref="X14:X25">(X13*(1+$I14))</f>
        <v>1.040396</v>
      </c>
      <c r="Y14" s="3">
        <f aca="true" t="shared" si="16" ref="Y14:Y25">(Y13*(1+$L14))</f>
        <v>1.0671783199999998</v>
      </c>
      <c r="Z14" s="3">
        <f aca="true" t="shared" si="17" ref="Z14:Z25">(Z13*(1+$P14))</f>
        <v>1.04876499</v>
      </c>
      <c r="AA14" s="154">
        <f t="shared" si="12"/>
        <v>950.177287221732</v>
      </c>
    </row>
    <row r="15" spans="1:27" ht="12.75">
      <c r="A15" s="16">
        <v>2003</v>
      </c>
      <c r="B15" s="66">
        <v>0.01044</v>
      </c>
      <c r="C15" s="5">
        <f t="shared" si="1"/>
        <v>9.90665231570289</v>
      </c>
      <c r="D15" s="12">
        <f t="shared" si="2"/>
        <v>958.8197093753668</v>
      </c>
      <c r="E15" s="66">
        <f t="shared" si="10"/>
        <v>0.01089918256130784</v>
      </c>
      <c r="F15" s="5">
        <f t="shared" si="3"/>
        <v>25.999999999999854</v>
      </c>
      <c r="G15" s="97">
        <f t="shared" si="4"/>
        <v>2411.5</v>
      </c>
      <c r="H15" s="84">
        <v>0.024</v>
      </c>
      <c r="I15" s="66">
        <f>H15-0.54%</f>
        <v>0.0186</v>
      </c>
      <c r="J15" s="5">
        <f t="shared" si="5"/>
        <v>40.60726401874884</v>
      </c>
      <c r="K15" s="12">
        <f t="shared" si="6"/>
        <v>2223.793501585891</v>
      </c>
      <c r="L15" s="13">
        <v>0.019</v>
      </c>
      <c r="M15" s="5">
        <f t="shared" si="7"/>
        <v>130.68132117559998</v>
      </c>
      <c r="N15" s="12">
        <f t="shared" si="8"/>
        <v>7008.645593575598</v>
      </c>
      <c r="O15" s="12">
        <f t="shared" si="9"/>
        <v>4730.835775663529</v>
      </c>
      <c r="P15" s="84">
        <v>0.01</v>
      </c>
      <c r="Q15" s="89">
        <f t="shared" si="0"/>
        <v>2.319303076315155</v>
      </c>
      <c r="T15" s="9">
        <v>28938</v>
      </c>
      <c r="U15" s="3">
        <f t="shared" si="13"/>
        <v>1.0577645642626199</v>
      </c>
      <c r="V15" s="3">
        <f t="shared" si="14"/>
        <v>1.0583041253860235</v>
      </c>
      <c r="W15" s="3">
        <f t="shared" si="11"/>
        <v>1.096261103616</v>
      </c>
      <c r="X15" s="3">
        <f t="shared" si="15"/>
        <v>1.0597473656</v>
      </c>
      <c r="Y15" s="3">
        <f t="shared" si="16"/>
        <v>1.0874547080799997</v>
      </c>
      <c r="Z15" s="3">
        <f t="shared" si="17"/>
        <v>1.0592526399</v>
      </c>
      <c r="AA15" s="154">
        <f t="shared" si="12"/>
        <v>959.6790600939493</v>
      </c>
    </row>
    <row r="16" spans="1:27" ht="12.75">
      <c r="A16" s="16">
        <v>2004</v>
      </c>
      <c r="B16" s="66">
        <v>0</v>
      </c>
      <c r="C16" s="5">
        <f t="shared" si="1"/>
        <v>0</v>
      </c>
      <c r="D16" s="12">
        <f t="shared" si="2"/>
        <v>958.8197093753668</v>
      </c>
      <c r="E16" s="66">
        <f t="shared" si="10"/>
        <v>0.004215909876287283</v>
      </c>
      <c r="F16" s="5">
        <f t="shared" si="3"/>
        <v>10.166666666666782</v>
      </c>
      <c r="G16" s="97">
        <f t="shared" si="4"/>
        <v>2421.6666666666665</v>
      </c>
      <c r="H16" s="84">
        <v>0.02</v>
      </c>
      <c r="I16" s="66">
        <v>0.0092</v>
      </c>
      <c r="J16" s="5">
        <f t="shared" si="5"/>
        <v>20.458900214590198</v>
      </c>
      <c r="K16" s="12">
        <f t="shared" si="6"/>
        <v>2244.2524018004815</v>
      </c>
      <c r="L16" s="13">
        <v>0</v>
      </c>
      <c r="M16" s="5">
        <f t="shared" si="7"/>
        <v>0</v>
      </c>
      <c r="N16" s="12">
        <f t="shared" si="8"/>
        <v>7008.645593575598</v>
      </c>
      <c r="O16" s="12">
        <f t="shared" si="9"/>
        <v>4730.835775663529</v>
      </c>
      <c r="P16" s="84">
        <v>0.017</v>
      </c>
      <c r="Q16" s="89">
        <f t="shared" si="0"/>
        <v>2.3406406646172546</v>
      </c>
      <c r="T16" s="9">
        <v>29060</v>
      </c>
      <c r="U16" s="3">
        <f t="shared" si="13"/>
        <v>1.0622240043358815</v>
      </c>
      <c r="V16" s="3">
        <f t="shared" si="14"/>
        <v>1.0583041253860235</v>
      </c>
      <c r="W16" s="3">
        <f t="shared" si="11"/>
        <v>1.11818632568832</v>
      </c>
      <c r="X16" s="3">
        <f t="shared" si="15"/>
        <v>1.06949704136352</v>
      </c>
      <c r="Y16" s="3">
        <f t="shared" si="16"/>
        <v>1.0874547080799997</v>
      </c>
      <c r="Z16" s="3">
        <f t="shared" si="17"/>
        <v>1.0772599347782998</v>
      </c>
      <c r="AA16" s="154">
        <f t="shared" si="12"/>
        <v>975.9936041155463</v>
      </c>
    </row>
    <row r="17" spans="1:27" ht="12.75">
      <c r="A17" s="16">
        <v>2005</v>
      </c>
      <c r="B17" s="66">
        <v>0</v>
      </c>
      <c r="C17" s="5">
        <f t="shared" si="1"/>
        <v>0</v>
      </c>
      <c r="D17" s="12">
        <f t="shared" si="2"/>
        <v>958.8197093753668</v>
      </c>
      <c r="E17" s="66">
        <f t="shared" si="10"/>
        <v>0.0048864418444598545</v>
      </c>
      <c r="F17" s="5">
        <f t="shared" si="3"/>
        <v>11.833333333333613</v>
      </c>
      <c r="G17" s="97">
        <f t="shared" si="4"/>
        <v>2433.5</v>
      </c>
      <c r="H17" s="84">
        <v>0</v>
      </c>
      <c r="I17" s="66">
        <v>0</v>
      </c>
      <c r="J17" s="5">
        <f t="shared" si="5"/>
        <v>0</v>
      </c>
      <c r="K17" s="12">
        <f t="shared" si="6"/>
        <v>2244.2524018004815</v>
      </c>
      <c r="L17" s="13">
        <v>0</v>
      </c>
      <c r="M17" s="5">
        <f t="shared" si="7"/>
        <v>0</v>
      </c>
      <c r="N17" s="12">
        <f t="shared" si="8"/>
        <v>7008.645593575598</v>
      </c>
      <c r="O17" s="12">
        <f t="shared" si="9"/>
        <v>4730.835775663529</v>
      </c>
      <c r="P17" s="84">
        <v>0.015</v>
      </c>
      <c r="Q17" s="89">
        <f t="shared" si="0"/>
        <v>2.3406406646172546</v>
      </c>
      <c r="T17" s="9">
        <v>29202</v>
      </c>
      <c r="U17" s="3">
        <f t="shared" si="13"/>
        <v>1.067414500158858</v>
      </c>
      <c r="V17" s="3">
        <f t="shared" si="14"/>
        <v>1.0583041253860235</v>
      </c>
      <c r="W17" s="3">
        <f t="shared" si="11"/>
        <v>1.11818632568832</v>
      </c>
      <c r="X17" s="3">
        <f t="shared" si="15"/>
        <v>1.06949704136352</v>
      </c>
      <c r="Y17" s="3">
        <f t="shared" si="16"/>
        <v>1.0874547080799997</v>
      </c>
      <c r="Z17" s="3">
        <f t="shared" si="17"/>
        <v>1.0934188337999742</v>
      </c>
      <c r="AA17" s="154">
        <f t="shared" si="12"/>
        <v>990.6335081772793</v>
      </c>
    </row>
    <row r="18" spans="1:27" ht="12.75">
      <c r="A18" s="16">
        <v>2006</v>
      </c>
      <c r="B18" s="66">
        <v>0</v>
      </c>
      <c r="C18" s="5">
        <f t="shared" si="1"/>
        <v>0</v>
      </c>
      <c r="D18" s="12">
        <f t="shared" si="2"/>
        <v>958.8197093753668</v>
      </c>
      <c r="E18" s="66">
        <f t="shared" si="10"/>
        <v>0.008971988219985016</v>
      </c>
      <c r="F18" s="5">
        <f t="shared" si="3"/>
        <v>21.833333333333538</v>
      </c>
      <c r="G18" s="97">
        <f t="shared" si="4"/>
        <v>2455.3333333333335</v>
      </c>
      <c r="H18" s="84">
        <v>0</v>
      </c>
      <c r="I18" s="66">
        <v>0</v>
      </c>
      <c r="J18" s="5">
        <f t="shared" si="5"/>
        <v>0</v>
      </c>
      <c r="K18" s="12">
        <f t="shared" si="6"/>
        <v>2244.2524018004815</v>
      </c>
      <c r="L18" s="13">
        <v>0</v>
      </c>
      <c r="M18" s="5">
        <f t="shared" si="7"/>
        <v>0</v>
      </c>
      <c r="N18" s="12">
        <f t="shared" si="8"/>
        <v>7008.645593575598</v>
      </c>
      <c r="O18" s="12">
        <f t="shared" si="9"/>
        <v>4730.835775663529</v>
      </c>
      <c r="P18" s="84">
        <v>0.016</v>
      </c>
      <c r="Q18" s="89">
        <f t="shared" si="0"/>
        <v>2.3406406646172546</v>
      </c>
      <c r="T18" s="9">
        <v>29464</v>
      </c>
      <c r="U18" s="3">
        <f t="shared" si="13"/>
        <v>1.0769913304801244</v>
      </c>
      <c r="V18" s="3">
        <f t="shared" si="14"/>
        <v>1.0583041253860235</v>
      </c>
      <c r="W18" s="3">
        <f t="shared" si="11"/>
        <v>1.11818632568832</v>
      </c>
      <c r="X18" s="3">
        <f t="shared" si="15"/>
        <v>1.06949704136352</v>
      </c>
      <c r="Y18" s="3">
        <f t="shared" si="16"/>
        <v>1.0874547080799997</v>
      </c>
      <c r="Z18" s="3">
        <f t="shared" si="17"/>
        <v>1.1109135351407737</v>
      </c>
      <c r="AA18" s="154">
        <f t="shared" si="12"/>
        <v>1006.4836443081158</v>
      </c>
    </row>
    <row r="19" spans="1:27" ht="12.75">
      <c r="A19" s="16">
        <v>2007</v>
      </c>
      <c r="B19" s="66">
        <v>0.00536</v>
      </c>
      <c r="C19" s="5">
        <f t="shared" si="1"/>
        <v>5.139273642251966</v>
      </c>
      <c r="D19" s="12">
        <f t="shared" si="2"/>
        <v>963.9589830176188</v>
      </c>
      <c r="E19" s="66">
        <f t="shared" si="10"/>
        <v>0.016528645126255626</v>
      </c>
      <c r="F19" s="5">
        <f t="shared" si="3"/>
        <v>40.58333333333298</v>
      </c>
      <c r="G19" s="97">
        <f t="shared" si="4"/>
        <v>2495.9166666666665</v>
      </c>
      <c r="H19" s="84">
        <v>0</v>
      </c>
      <c r="I19" s="66">
        <v>0</v>
      </c>
      <c r="J19" s="5">
        <f t="shared" si="5"/>
        <v>0</v>
      </c>
      <c r="K19" s="12">
        <f t="shared" si="6"/>
        <v>2244.2524018004815</v>
      </c>
      <c r="L19" s="13">
        <v>0</v>
      </c>
      <c r="M19" s="5">
        <f t="shared" si="7"/>
        <v>0</v>
      </c>
      <c r="N19" s="12">
        <f t="shared" si="8"/>
        <v>7008.645593575598</v>
      </c>
      <c r="O19" s="12">
        <f t="shared" si="9"/>
        <v>4730.835775663529</v>
      </c>
      <c r="P19" s="84">
        <v>0.023</v>
      </c>
      <c r="Q19" s="89">
        <f t="shared" si="0"/>
        <v>2.328161717809794</v>
      </c>
      <c r="T19" s="9">
        <v>29951</v>
      </c>
      <c r="U19" s="3">
        <f t="shared" si="13"/>
        <v>1.0947925379856842</v>
      </c>
      <c r="V19" s="3">
        <f t="shared" si="14"/>
        <v>1.0639766354980926</v>
      </c>
      <c r="W19" s="3">
        <f t="shared" si="11"/>
        <v>1.11818632568832</v>
      </c>
      <c r="X19" s="3">
        <f t="shared" si="15"/>
        <v>1.06949704136352</v>
      </c>
      <c r="Y19" s="3">
        <f t="shared" si="16"/>
        <v>1.0874547080799997</v>
      </c>
      <c r="Z19" s="3">
        <f t="shared" si="17"/>
        <v>1.1364645464490115</v>
      </c>
      <c r="AA19" s="154">
        <f t="shared" si="12"/>
        <v>1029.6327681272023</v>
      </c>
    </row>
    <row r="20" spans="1:27" ht="12.75">
      <c r="A20" s="16">
        <v>2008</v>
      </c>
      <c r="B20" s="66">
        <v>0.01104</v>
      </c>
      <c r="C20" s="5">
        <f t="shared" si="1"/>
        <v>10.642107172514512</v>
      </c>
      <c r="D20" s="12">
        <f t="shared" si="2"/>
        <v>974.6010901901332</v>
      </c>
      <c r="E20" s="66">
        <f t="shared" si="10"/>
        <v>0.022503422256352268</v>
      </c>
      <c r="F20" s="5">
        <f t="shared" si="3"/>
        <v>56.166666666667226</v>
      </c>
      <c r="G20" s="97">
        <f t="shared" si="4"/>
        <v>2552.0833333333335</v>
      </c>
      <c r="H20" s="84">
        <v>0.031</v>
      </c>
      <c r="I20" s="66">
        <v>0.0382</v>
      </c>
      <c r="J20" s="5">
        <f t="shared" si="5"/>
        <v>85.73044174877839</v>
      </c>
      <c r="K20" s="12">
        <f t="shared" si="6"/>
        <v>2329.9828435492595</v>
      </c>
      <c r="L20" s="13">
        <v>0.047</v>
      </c>
      <c r="M20" s="5">
        <f t="shared" si="7"/>
        <v>329.4063428980531</v>
      </c>
      <c r="N20" s="12">
        <f t="shared" si="8"/>
        <v>7338.05193647365</v>
      </c>
      <c r="O20" s="12">
        <f t="shared" si="9"/>
        <v>4953.185057119714</v>
      </c>
      <c r="P20" s="84">
        <v>0.026</v>
      </c>
      <c r="Q20" s="89">
        <f t="shared" si="0"/>
        <v>2.3907041219240863</v>
      </c>
      <c r="T20" s="9">
        <v>30625</v>
      </c>
      <c r="U20" s="3">
        <f t="shared" si="13"/>
        <v>1.1194291167510797</v>
      </c>
      <c r="V20" s="3">
        <f t="shared" si="14"/>
        <v>1.0757229375539914</v>
      </c>
      <c r="W20" s="3">
        <f t="shared" si="11"/>
        <v>1.1528501017846577</v>
      </c>
      <c r="X20" s="3">
        <f t="shared" si="15"/>
        <v>1.1103518283436065</v>
      </c>
      <c r="Y20" s="3">
        <f t="shared" si="16"/>
        <v>1.1385650793597595</v>
      </c>
      <c r="Z20" s="3">
        <f t="shared" si="17"/>
        <v>1.1660126246566858</v>
      </c>
      <c r="AA20" s="154">
        <f t="shared" si="12"/>
        <v>1056.4032200985096</v>
      </c>
    </row>
    <row r="21" spans="1:27" ht="12.75">
      <c r="A21" s="16">
        <v>2009</v>
      </c>
      <c r="B21" s="66">
        <v>0.0241</v>
      </c>
      <c r="C21" s="5">
        <f t="shared" si="1"/>
        <v>23.48788627358221</v>
      </c>
      <c r="D21" s="12">
        <f t="shared" si="2"/>
        <v>998.0889764637153</v>
      </c>
      <c r="E21" s="66">
        <f t="shared" si="10"/>
        <v>-0.003885714285714381</v>
      </c>
      <c r="F21" s="5">
        <f t="shared" si="3"/>
        <v>-9.916666666666911</v>
      </c>
      <c r="G21" s="97">
        <f t="shared" si="4"/>
        <v>2542.1666666666665</v>
      </c>
      <c r="H21" s="84">
        <v>0.027999999999999997</v>
      </c>
      <c r="I21" s="66">
        <f>H21-0.54%</f>
        <v>0.022599999999999995</v>
      </c>
      <c r="J21" s="5">
        <f t="shared" si="5"/>
        <v>52.657612264213256</v>
      </c>
      <c r="K21" s="12">
        <f t="shared" si="6"/>
        <v>2382.6404558134727</v>
      </c>
      <c r="L21" s="13">
        <v>0.045</v>
      </c>
      <c r="M21" s="5">
        <f t="shared" si="7"/>
        <v>330.21233714131426</v>
      </c>
      <c r="N21" s="12">
        <f t="shared" si="8"/>
        <v>7668.264273614964</v>
      </c>
      <c r="O21" s="12">
        <f t="shared" si="9"/>
        <v>5176.0783846901</v>
      </c>
      <c r="P21" s="84">
        <v>0.004</v>
      </c>
      <c r="Q21" s="89">
        <f t="shared" si="0"/>
        <v>2.38720245589256</v>
      </c>
      <c r="T21" s="9">
        <v>30506</v>
      </c>
      <c r="U21" s="3">
        <f t="shared" si="13"/>
        <v>1.1150793350402755</v>
      </c>
      <c r="V21" s="3">
        <f t="shared" si="14"/>
        <v>1.1016478603490425</v>
      </c>
      <c r="W21" s="3">
        <f t="shared" si="11"/>
        <v>1.1851299046346282</v>
      </c>
      <c r="X21" s="3">
        <f t="shared" si="15"/>
        <v>1.135445779664172</v>
      </c>
      <c r="Y21" s="3">
        <f t="shared" si="16"/>
        <v>1.1898005079309486</v>
      </c>
      <c r="Z21" s="3">
        <f t="shared" si="17"/>
        <v>1.1706766751553126</v>
      </c>
      <c r="AA21" s="154">
        <f t="shared" si="12"/>
        <v>1060.6288329789038</v>
      </c>
    </row>
    <row r="22" spans="1:27" ht="12.75">
      <c r="A22" s="16">
        <v>2010</v>
      </c>
      <c r="B22" s="66">
        <v>0</v>
      </c>
      <c r="C22" s="5">
        <f t="shared" si="1"/>
        <v>0</v>
      </c>
      <c r="D22" s="12">
        <f t="shared" si="2"/>
        <v>998.0889764637153</v>
      </c>
      <c r="E22" s="66">
        <f t="shared" si="10"/>
        <v>0.02091391857339553</v>
      </c>
      <c r="F22" s="5">
        <f t="shared" si="3"/>
        <v>53.166666666667</v>
      </c>
      <c r="G22" s="97">
        <f t="shared" si="4"/>
        <v>2595.3333333333335</v>
      </c>
      <c r="H22" s="84">
        <v>0.012</v>
      </c>
      <c r="I22" s="66">
        <f>H22-0.54%</f>
        <v>0.0066</v>
      </c>
      <c r="J22" s="5">
        <f t="shared" si="5"/>
        <v>15.72542700836892</v>
      </c>
      <c r="K22" s="12">
        <f t="shared" si="6"/>
        <v>2398.3658828218413</v>
      </c>
      <c r="L22" s="13">
        <v>0</v>
      </c>
      <c r="M22" s="5">
        <f t="shared" si="7"/>
        <v>0</v>
      </c>
      <c r="N22" s="12">
        <f t="shared" si="8"/>
        <v>7668.264273614964</v>
      </c>
      <c r="O22" s="12">
        <f t="shared" si="9"/>
        <v>5176.0783846901</v>
      </c>
      <c r="P22" s="84">
        <v>0.011</v>
      </c>
      <c r="Q22" s="89">
        <f t="shared" si="0"/>
        <v>2.4029579921014506</v>
      </c>
      <c r="T22" s="9">
        <v>31144</v>
      </c>
      <c r="U22" s="3">
        <f t="shared" si="13"/>
        <v>1.1384000134561838</v>
      </c>
      <c r="V22" s="3">
        <f t="shared" si="14"/>
        <v>1.1016478603490425</v>
      </c>
      <c r="W22" s="3">
        <f t="shared" si="11"/>
        <v>1.1993514634902438</v>
      </c>
      <c r="X22" s="3">
        <f t="shared" si="15"/>
        <v>1.1429397218099553</v>
      </c>
      <c r="Y22" s="3">
        <f t="shared" si="16"/>
        <v>1.1898005079309486</v>
      </c>
      <c r="Z22" s="3">
        <f t="shared" si="17"/>
        <v>1.1835541185820209</v>
      </c>
      <c r="AA22" s="154">
        <f t="shared" si="12"/>
        <v>1072.2957501416715</v>
      </c>
    </row>
    <row r="23" spans="1:29" ht="13">
      <c r="A23" s="29">
        <v>2011</v>
      </c>
      <c r="B23" s="66">
        <v>0.00993</v>
      </c>
      <c r="C23" s="5">
        <f t="shared" si="1"/>
        <v>9.911023536284693</v>
      </c>
      <c r="D23" s="25">
        <v>1008</v>
      </c>
      <c r="E23" s="66">
        <f t="shared" si="10"/>
        <v>0.030696121243257046</v>
      </c>
      <c r="F23" s="5">
        <f t="shared" si="3"/>
        <v>79.66666666666646</v>
      </c>
      <c r="G23" s="25">
        <f t="shared" si="4"/>
        <v>2675</v>
      </c>
      <c r="H23" s="84">
        <v>0.009000000000000001</v>
      </c>
      <c r="I23" s="66">
        <f>H23-0.54%</f>
        <v>0.0036000000000000008</v>
      </c>
      <c r="J23" s="5">
        <f t="shared" si="5"/>
        <v>8.63411717815863</v>
      </c>
      <c r="K23" s="25">
        <v>2407</v>
      </c>
      <c r="L23" s="13">
        <v>0</v>
      </c>
      <c r="M23" s="5">
        <f t="shared" si="7"/>
        <v>0</v>
      </c>
      <c r="N23" s="12">
        <f t="shared" si="8"/>
        <v>7668.264273614964</v>
      </c>
      <c r="O23" s="12">
        <f t="shared" si="9"/>
        <v>5176.0783846901</v>
      </c>
      <c r="P23" s="84">
        <v>0.023</v>
      </c>
      <c r="Q23" s="89">
        <f t="shared" si="0"/>
        <v>2.3878968253968256</v>
      </c>
      <c r="R23" s="46" t="s">
        <v>16</v>
      </c>
      <c r="S23" s="8"/>
      <c r="T23" s="9">
        <v>32100</v>
      </c>
      <c r="U23" s="3">
        <f t="shared" si="13"/>
        <v>1.1733444782925602</v>
      </c>
      <c r="V23" s="3">
        <f t="shared" si="14"/>
        <v>1.1125872236023084</v>
      </c>
      <c r="W23" s="3">
        <f t="shared" si="11"/>
        <v>1.210145626661656</v>
      </c>
      <c r="X23" s="3">
        <f t="shared" si="15"/>
        <v>1.1470543048084711</v>
      </c>
      <c r="Y23" s="3">
        <f t="shared" si="16"/>
        <v>1.1898005079309486</v>
      </c>
      <c r="Z23" s="3">
        <f t="shared" si="17"/>
        <v>1.2107758633094072</v>
      </c>
      <c r="AA23" s="154">
        <f t="shared" si="12"/>
        <v>1096.95855239493</v>
      </c>
      <c r="AB23" s="7"/>
      <c r="AC23" s="7"/>
    </row>
    <row r="24" spans="1:27" ht="12.75">
      <c r="A24" s="16">
        <v>2012</v>
      </c>
      <c r="B24" s="66">
        <v>0.02184</v>
      </c>
      <c r="C24" s="5">
        <f t="shared" si="1"/>
        <v>22.014719999999997</v>
      </c>
      <c r="D24" s="12">
        <f>D$11*V24</f>
        <v>1030.0147200000001</v>
      </c>
      <c r="E24" s="66">
        <f t="shared" si="10"/>
        <v>0.010778816199376928</v>
      </c>
      <c r="F24" s="5">
        <f t="shared" si="3"/>
        <v>28.833333333333282</v>
      </c>
      <c r="G24" s="97">
        <f t="shared" si="4"/>
        <v>2703.8333333333335</v>
      </c>
      <c r="H24" s="84">
        <v>0.033</v>
      </c>
      <c r="I24" s="66">
        <v>0.0142</v>
      </c>
      <c r="J24" s="5">
        <f t="shared" si="5"/>
        <v>34.1794</v>
      </c>
      <c r="K24" s="12">
        <f>K$11*X24</f>
        <v>2441.1794</v>
      </c>
      <c r="L24" s="13">
        <v>0.038</v>
      </c>
      <c r="M24" s="5">
        <f t="shared" si="7"/>
        <v>291.3940423973686</v>
      </c>
      <c r="N24" s="12">
        <f t="shared" si="8"/>
        <v>7959.658316012333</v>
      </c>
      <c r="O24" s="12">
        <f t="shared" si="9"/>
        <v>5372.769363308325</v>
      </c>
      <c r="P24" s="84">
        <v>0.02</v>
      </c>
      <c r="Q24" s="89">
        <f t="shared" si="0"/>
        <v>2.3700432164697602</v>
      </c>
      <c r="T24" s="9">
        <v>32446</v>
      </c>
      <c r="U24" s="3">
        <f t="shared" si="13"/>
        <v>1.1859917427626294</v>
      </c>
      <c r="V24" s="3">
        <f t="shared" si="14"/>
        <v>1.136886128565783</v>
      </c>
      <c r="W24" s="3">
        <f t="shared" si="11"/>
        <v>1.2500804323414905</v>
      </c>
      <c r="X24" s="3">
        <f t="shared" si="15"/>
        <v>1.1633424759367514</v>
      </c>
      <c r="Y24" s="3">
        <f t="shared" si="16"/>
        <v>1.2350129272323247</v>
      </c>
      <c r="Z24" s="3">
        <f t="shared" si="17"/>
        <v>1.2349913805755954</v>
      </c>
      <c r="AA24" s="154">
        <f t="shared" si="12"/>
        <v>1118.8977234428285</v>
      </c>
    </row>
    <row r="25" spans="1:27" s="37" customFormat="1" ht="12.75">
      <c r="A25" s="33">
        <v>2013</v>
      </c>
      <c r="B25" s="110">
        <v>0.00249</v>
      </c>
      <c r="C25" s="34">
        <f t="shared" si="1"/>
        <v>2.5647366528</v>
      </c>
      <c r="D25" s="12">
        <f>D$11*V25</f>
        <v>1032.5794566528002</v>
      </c>
      <c r="E25" s="106">
        <f t="shared" si="10"/>
        <v>0.050083215188312824</v>
      </c>
      <c r="F25" s="105">
        <f t="shared" si="3"/>
        <v>135.4166666666665</v>
      </c>
      <c r="G25" s="107">
        <f t="shared" si="4"/>
        <v>2839.25</v>
      </c>
      <c r="H25" s="85">
        <v>0.024</v>
      </c>
      <c r="I25" s="66">
        <v>0.024</v>
      </c>
      <c r="J25" s="34">
        <f t="shared" si="5"/>
        <v>58.5883056</v>
      </c>
      <c r="K25" s="35">
        <f>K$11*X25</f>
        <v>2499.7677056</v>
      </c>
      <c r="L25" s="36">
        <v>0.036728</v>
      </c>
      <c r="M25" s="34">
        <f t="shared" si="7"/>
        <v>292.34233063050095</v>
      </c>
      <c r="N25" s="35">
        <f t="shared" si="8"/>
        <v>8252.000646642835</v>
      </c>
      <c r="O25" s="35">
        <f t="shared" si="9"/>
        <v>5570.100436483914</v>
      </c>
      <c r="P25" s="85">
        <v>0.02</v>
      </c>
      <c r="Q25" s="89">
        <f t="shared" si="0"/>
        <v>2.4208962220720753</v>
      </c>
      <c r="S25" s="32"/>
      <c r="T25" s="98">
        <v>34071</v>
      </c>
      <c r="U25" s="3">
        <f t="shared" si="13"/>
        <v>1.2453900224269723</v>
      </c>
      <c r="V25" s="3">
        <f t="shared" si="14"/>
        <v>1.139716975025912</v>
      </c>
      <c r="W25" s="62">
        <f t="shared" si="11"/>
        <v>1.2800823627176863</v>
      </c>
      <c r="X25" s="62">
        <f t="shared" si="15"/>
        <v>1.1912626953592336</v>
      </c>
      <c r="Y25" s="3">
        <f t="shared" si="16"/>
        <v>1.2803724820237137</v>
      </c>
      <c r="Z25" s="3">
        <f t="shared" si="17"/>
        <v>1.2596912081871074</v>
      </c>
      <c r="AA25" s="154">
        <f t="shared" si="12"/>
        <v>1141.2756779116853</v>
      </c>
    </row>
    <row r="26" spans="1:27" ht="14.5" customHeight="1">
      <c r="A26" s="17" t="s">
        <v>1</v>
      </c>
      <c r="B26" s="67">
        <f>SUM(B12:B25)</f>
        <v>0.13190999999999997</v>
      </c>
      <c r="C26" s="6" t="s">
        <v>10</v>
      </c>
      <c r="D26" s="15" t="s">
        <v>9</v>
      </c>
      <c r="E26" s="103">
        <f>SUM(E12:E25)</f>
        <v>0.22225803253361953</v>
      </c>
      <c r="F26" s="104" t="s">
        <v>10</v>
      </c>
      <c r="G26" s="95" t="s">
        <v>9</v>
      </c>
      <c r="H26" s="86">
        <f>SUM(H12:H25)</f>
        <v>0.25000000000000006</v>
      </c>
      <c r="I26" s="67">
        <f>SUM(I12:I25)</f>
        <v>0.17699999999999996</v>
      </c>
      <c r="J26" s="6" t="s">
        <v>10</v>
      </c>
      <c r="K26" s="15" t="s">
        <v>9</v>
      </c>
      <c r="L26" s="14">
        <f>SUM(L12:L25)</f>
        <v>0.251728</v>
      </c>
      <c r="M26" s="6" t="s">
        <v>10</v>
      </c>
      <c r="N26" s="15" t="s">
        <v>9</v>
      </c>
      <c r="O26" s="149">
        <f>SUM((O25-O11)/O11)</f>
        <v>0.28037248202371373</v>
      </c>
      <c r="P26" s="86">
        <f>SUM(P12:P25)</f>
        <v>0.23299999999999998</v>
      </c>
      <c r="Q26" s="91"/>
      <c r="U26" s="3" t="s">
        <v>11</v>
      </c>
      <c r="V26" s="3" t="s">
        <v>11</v>
      </c>
      <c r="W26" s="3" t="s">
        <v>11</v>
      </c>
      <c r="X26" s="3" t="s">
        <v>11</v>
      </c>
      <c r="Y26" s="3" t="s">
        <v>11</v>
      </c>
      <c r="Z26" s="3" t="s">
        <v>11</v>
      </c>
      <c r="AA26" s="3" t="s">
        <v>11</v>
      </c>
    </row>
    <row r="27" spans="1:27" s="37" customFormat="1" ht="14.5" customHeight="1" thickBot="1">
      <c r="A27" s="24" t="s">
        <v>11</v>
      </c>
      <c r="B27" s="81">
        <f>V27</f>
        <v>0.13971697502591196</v>
      </c>
      <c r="C27" s="47">
        <f>SUM(C12:C25)</f>
        <v>126.58307397250877</v>
      </c>
      <c r="D27" s="44">
        <f>C27/$C27</f>
        <v>1</v>
      </c>
      <c r="E27" s="81">
        <f>U27</f>
        <v>0.24539002242697228</v>
      </c>
      <c r="F27" s="47">
        <f>SUM(F12:F25)</f>
        <v>559.4421094028288</v>
      </c>
      <c r="G27" s="44">
        <f>F27/$C27</f>
        <v>4.419564890044684</v>
      </c>
      <c r="H27" s="45">
        <f>W27</f>
        <v>0.2800823627176863</v>
      </c>
      <c r="I27" s="81">
        <f>X27</f>
        <v>0.19126269535923357</v>
      </c>
      <c r="J27" s="47">
        <f>SUM(J12:J25)</f>
        <v>401.3491826845507</v>
      </c>
      <c r="K27" s="44">
        <f>J27/$C27</f>
        <v>3.1706386177010955</v>
      </c>
      <c r="L27" s="81">
        <f>Y27</f>
        <v>0.2803724820237137</v>
      </c>
      <c r="M27" s="47">
        <f>SUM(M12:M25)</f>
        <v>1807.0006466428367</v>
      </c>
      <c r="N27" s="44">
        <f>M27/$C27</f>
        <v>14.275215397560023</v>
      </c>
      <c r="O27" s="150">
        <f>O25-O11</f>
        <v>1219.7254364839137</v>
      </c>
      <c r="P27" s="45">
        <f>Z27</f>
        <v>0.25969120818710745</v>
      </c>
      <c r="Q27" s="92"/>
      <c r="S27" s="32"/>
      <c r="T27" s="100"/>
      <c r="U27" s="62">
        <f aca="true" t="shared" si="18" ref="U27:Z27">U25-100%</f>
        <v>0.24539002242697228</v>
      </c>
      <c r="V27" s="62">
        <f t="shared" si="18"/>
        <v>0.13971697502591196</v>
      </c>
      <c r="W27" s="62">
        <f t="shared" si="18"/>
        <v>0.2800823627176863</v>
      </c>
      <c r="X27" s="62">
        <f t="shared" si="18"/>
        <v>0.19126269535923357</v>
      </c>
      <c r="Y27" s="62">
        <f t="shared" si="18"/>
        <v>0.2803724820237137</v>
      </c>
      <c r="Z27" s="62">
        <f t="shared" si="18"/>
        <v>0.25969120818710745</v>
      </c>
      <c r="AA27" s="62">
        <f>AA25/AA11</f>
        <v>1.2596912081871074</v>
      </c>
    </row>
    <row r="28" spans="1:26" s="40" customFormat="1" ht="12.5" customHeight="1">
      <c r="A28" s="156"/>
      <c r="B28" s="157" t="s">
        <v>65</v>
      </c>
      <c r="C28" s="151">
        <f>D28-D$11</f>
        <v>235.27929523139392</v>
      </c>
      <c r="D28" s="151">
        <f>SUM(D$11*(1+P$27))</f>
        <v>1141.2756779116853</v>
      </c>
      <c r="E28" s="158">
        <f>SUM(P$27)</f>
        <v>0.25969120818710745</v>
      </c>
      <c r="F28" s="83"/>
      <c r="G28" s="83" t="s">
        <v>29</v>
      </c>
      <c r="H28" s="71" t="s">
        <v>5</v>
      </c>
      <c r="I28" s="71" t="s">
        <v>15</v>
      </c>
      <c r="J28" s="189"/>
      <c r="K28" s="189"/>
      <c r="L28" s="71" t="s">
        <v>6</v>
      </c>
      <c r="M28" s="189" t="s">
        <v>2</v>
      </c>
      <c r="N28" s="189"/>
      <c r="O28" s="148"/>
      <c r="P28" s="71" t="s">
        <v>7</v>
      </c>
      <c r="S28" s="76"/>
      <c r="T28" s="64"/>
      <c r="U28" s="64"/>
      <c r="V28" s="78"/>
      <c r="W28" s="78"/>
      <c r="X28" s="78"/>
      <c r="Y28" s="79"/>
      <c r="Z28" s="79"/>
    </row>
    <row r="29" spans="1:26" s="40" customFormat="1" ht="12.5" customHeight="1">
      <c r="A29" s="156"/>
      <c r="B29" s="157" t="s">
        <v>68</v>
      </c>
      <c r="C29" s="151"/>
      <c r="D29" s="151">
        <f>D28-D25</f>
        <v>108.69622125888509</v>
      </c>
      <c r="E29" s="158"/>
      <c r="F29" s="151"/>
      <c r="G29" s="151"/>
      <c r="H29" s="193" t="s">
        <v>17</v>
      </c>
      <c r="I29" s="194"/>
      <c r="J29" s="195"/>
      <c r="K29" s="195"/>
      <c r="L29" s="68" t="s">
        <v>4</v>
      </c>
      <c r="M29" s="187" t="s">
        <v>3</v>
      </c>
      <c r="N29" s="188"/>
      <c r="O29" s="147"/>
      <c r="P29" s="54"/>
      <c r="Q29" s="39"/>
      <c r="S29" s="76"/>
      <c r="T29" s="64"/>
      <c r="U29" s="64" t="s">
        <v>8</v>
      </c>
      <c r="V29" s="64"/>
      <c r="W29" s="64"/>
      <c r="X29" s="64"/>
      <c r="Y29" s="64"/>
      <c r="Z29" s="64"/>
    </row>
    <row r="30" spans="1:26" s="126" customFormat="1" ht="9.5" customHeight="1">
      <c r="A30" s="156"/>
      <c r="B30" s="157"/>
      <c r="C30" s="151"/>
      <c r="D30" s="151"/>
      <c r="E30" s="158" t="s">
        <v>8</v>
      </c>
      <c r="F30" s="151"/>
      <c r="G30" s="151"/>
      <c r="H30" s="161"/>
      <c r="I30" s="162"/>
      <c r="J30" s="163"/>
      <c r="K30" s="163"/>
      <c r="L30" s="159"/>
      <c r="M30" s="159"/>
      <c r="N30" s="160"/>
      <c r="O30" s="160"/>
      <c r="P30" s="160"/>
      <c r="Q30" s="125"/>
      <c r="S30" s="136"/>
      <c r="T30" s="132"/>
      <c r="U30" s="132"/>
      <c r="V30" s="132"/>
      <c r="W30" s="132"/>
      <c r="X30" s="132"/>
      <c r="Y30" s="132"/>
      <c r="Z30" s="132"/>
    </row>
    <row r="31" spans="1:26" s="40" customFormat="1" ht="13" customHeight="1">
      <c r="A31" s="186" t="s">
        <v>64</v>
      </c>
      <c r="B31" s="39"/>
      <c r="C31" s="111"/>
      <c r="D31" s="111"/>
      <c r="E31" s="39"/>
      <c r="F31" s="83"/>
      <c r="G31" s="83"/>
      <c r="H31" s="60"/>
      <c r="I31" s="56"/>
      <c r="J31" s="56"/>
      <c r="K31" s="57"/>
      <c r="L31" s="41"/>
      <c r="M31" s="56"/>
      <c r="N31" s="57"/>
      <c r="O31" s="147"/>
      <c r="P31" s="71"/>
      <c r="Q31" s="39"/>
      <c r="S31" s="76"/>
      <c r="T31" s="101"/>
      <c r="U31" s="64"/>
      <c r="V31" s="64"/>
      <c r="W31" s="64"/>
      <c r="X31" s="64"/>
      <c r="Y31" s="64"/>
      <c r="Z31" s="64"/>
    </row>
    <row r="32" spans="1:26" s="43" customFormat="1" ht="13" thickBot="1">
      <c r="A32" s="58">
        <v>1999</v>
      </c>
      <c r="B32" s="82" t="s">
        <v>28</v>
      </c>
      <c r="C32" s="49"/>
      <c r="D32" s="49"/>
      <c r="E32" s="82"/>
      <c r="F32" s="49"/>
      <c r="G32" s="49"/>
      <c r="H32" s="49"/>
      <c r="I32" s="49"/>
      <c r="J32" s="49"/>
      <c r="L32" s="49"/>
      <c r="M32" s="49"/>
      <c r="O32" s="129"/>
      <c r="P32" s="49"/>
      <c r="Q32" s="38"/>
      <c r="S32" s="77"/>
      <c r="T32" s="65"/>
      <c r="U32" s="65"/>
      <c r="V32" s="65"/>
      <c r="W32" s="65"/>
      <c r="X32" s="65"/>
      <c r="Y32" s="65"/>
      <c r="Z32" s="65"/>
    </row>
    <row r="33" spans="1:27" ht="12.75">
      <c r="A33" s="55">
        <f>IF(A32&lt;1999,1999,IF(A32&gt;2013,2013,A32))</f>
        <v>1999</v>
      </c>
      <c r="B33" s="87">
        <v>1</v>
      </c>
      <c r="C33" s="119" t="s">
        <v>10</v>
      </c>
      <c r="D33" s="23">
        <f>D34/V34</f>
        <v>1316.1162225963133</v>
      </c>
      <c r="E33" s="109">
        <v>1</v>
      </c>
      <c r="F33" s="119" t="s">
        <v>10</v>
      </c>
      <c r="G33" s="23">
        <f>G34/U34</f>
        <v>2408.8839206802904</v>
      </c>
      <c r="H33" s="19">
        <v>1</v>
      </c>
      <c r="I33" s="87">
        <v>1</v>
      </c>
      <c r="J33" s="119" t="s">
        <v>10</v>
      </c>
      <c r="K33" s="23">
        <f>K34/X34</f>
        <v>2518.3362256595547</v>
      </c>
      <c r="L33" s="19">
        <v>1</v>
      </c>
      <c r="M33" s="119" t="s">
        <v>10</v>
      </c>
      <c r="N33" s="23">
        <f>N34/Y34</f>
        <v>6445</v>
      </c>
      <c r="O33" s="23">
        <f>O34/Y34</f>
        <v>4350.375</v>
      </c>
      <c r="P33" s="69">
        <v>1</v>
      </c>
      <c r="Q33" s="108">
        <f>$K33/$D33</f>
        <v>1.9134603634712535</v>
      </c>
      <c r="T33" s="96"/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</row>
    <row r="34" spans="1:27" ht="12.75">
      <c r="A34" s="16">
        <v>2013</v>
      </c>
      <c r="B34" s="66">
        <f>V34</f>
        <v>1.139716975025912</v>
      </c>
      <c r="C34" s="48">
        <f>D34-D33</f>
        <v>183.88377740368674</v>
      </c>
      <c r="D34" s="59">
        <v>1500</v>
      </c>
      <c r="E34" s="110">
        <f>U34</f>
        <v>1.2453900224269723</v>
      </c>
      <c r="F34" s="48">
        <f>G34-G33</f>
        <v>591.1160793197096</v>
      </c>
      <c r="G34" s="59">
        <v>3000</v>
      </c>
      <c r="H34" s="3">
        <f>W34</f>
        <v>1.2800823627176863</v>
      </c>
      <c r="I34" s="88">
        <f>X34</f>
        <v>1.1912626953592336</v>
      </c>
      <c r="J34" s="48">
        <f>K34-K33</f>
        <v>481.66377434044534</v>
      </c>
      <c r="K34" s="59">
        <v>3000</v>
      </c>
      <c r="L34" s="3">
        <f>Y34</f>
        <v>1.2803724820237137</v>
      </c>
      <c r="M34" s="48">
        <f>N34-N33</f>
        <v>1807.000646642835</v>
      </c>
      <c r="N34" s="12">
        <f>N25</f>
        <v>8252.000646642835</v>
      </c>
      <c r="O34" s="12">
        <f>O25</f>
        <v>5570.100436483914</v>
      </c>
      <c r="P34" s="70">
        <f>Z34</f>
        <v>1.2596912081871074</v>
      </c>
      <c r="Q34" s="89">
        <f>$K34/$D34</f>
        <v>2</v>
      </c>
      <c r="T34" s="9"/>
      <c r="U34" s="3">
        <f aca="true" t="shared" si="19" ref="U34:AA34">IF($A33=1999,U25/U11,IF($A33=2000,U25/U12,IF($A33=2001,U25/U13,IF($A33=2002,U25/U14,IF($A33=2003,U25/U15,IF($A33=2004,U25/U16,IF($A33=2005,U25/U17,IF($A33=2006,U25/U18,IF($A33=2007,U25/U19,IF($A33=2008,U25/U20,IF($A33=2009,U25/U21,IF($A33=2010,U25/U22,IF($A33=2011,U25/U23,IF($A33=2012,U25/U24,1))))))))))))))</f>
        <v>1.2453900224269723</v>
      </c>
      <c r="V34" s="3">
        <f t="shared" si="19"/>
        <v>1.139716975025912</v>
      </c>
      <c r="W34" s="3">
        <f t="shared" si="19"/>
        <v>1.2800823627176863</v>
      </c>
      <c r="X34" s="3">
        <f t="shared" si="19"/>
        <v>1.1912626953592336</v>
      </c>
      <c r="Y34" s="3">
        <f t="shared" si="19"/>
        <v>1.2803724820237137</v>
      </c>
      <c r="Z34" s="3">
        <f t="shared" si="19"/>
        <v>1.2596912081871074</v>
      </c>
      <c r="AA34" s="3">
        <f t="shared" si="19"/>
        <v>1.2596912081871074</v>
      </c>
    </row>
    <row r="35" spans="1:21" ht="14.5" customHeight="1" thickBot="1">
      <c r="A35" s="80">
        <f>A34-A33</f>
        <v>14</v>
      </c>
      <c r="B35" s="20"/>
      <c r="C35" s="22" t="s">
        <v>9</v>
      </c>
      <c r="D35" s="21">
        <f>IF(C34=0,0,C34/$C34)</f>
        <v>1</v>
      </c>
      <c r="E35" s="20"/>
      <c r="F35" s="22" t="s">
        <v>9</v>
      </c>
      <c r="G35" s="21">
        <f>IF(F34=0,0,F34/$C34)</f>
        <v>3.214617883458044</v>
      </c>
      <c r="H35" s="61"/>
      <c r="I35" s="20"/>
      <c r="J35" s="22" t="s">
        <v>9</v>
      </c>
      <c r="K35" s="21">
        <f>IF(J34=0,0,J34/$C34)</f>
        <v>2.6193924289636024</v>
      </c>
      <c r="L35" s="20"/>
      <c r="M35" s="22" t="s">
        <v>9</v>
      </c>
      <c r="N35" s="21">
        <f>IF(M34=0,0,M34/$C34)</f>
        <v>9.826862772542793</v>
      </c>
      <c r="O35" s="21">
        <f>IF((O34-O33)=0,0,(O34-O33)/$C34)</f>
        <v>6.633132371466386</v>
      </c>
      <c r="P35" s="72"/>
      <c r="Q35" s="72"/>
      <c r="T35" s="102"/>
      <c r="U35" s="102"/>
    </row>
    <row r="36" spans="1:24" s="40" customFormat="1" ht="13" customHeight="1">
      <c r="A36" s="53"/>
      <c r="B36" s="111"/>
      <c r="C36" s="111"/>
      <c r="D36" s="111" t="s">
        <v>23</v>
      </c>
      <c r="E36" s="83"/>
      <c r="F36" s="83"/>
      <c r="G36" s="83" t="s">
        <v>26</v>
      </c>
      <c r="H36" s="60"/>
      <c r="I36" s="52"/>
      <c r="J36" s="93"/>
      <c r="K36" s="94" t="s">
        <v>24</v>
      </c>
      <c r="L36" s="41"/>
      <c r="M36" s="93"/>
      <c r="N36" s="93" t="s">
        <v>56</v>
      </c>
      <c r="O36" s="146"/>
      <c r="P36" s="71"/>
      <c r="Q36" s="39"/>
      <c r="S36" s="76"/>
      <c r="T36" s="64"/>
      <c r="U36" s="64"/>
      <c r="V36" s="64"/>
      <c r="W36" s="64"/>
      <c r="X36" s="64"/>
    </row>
    <row r="37" spans="1:24" s="126" customFormat="1" ht="10.5" customHeight="1">
      <c r="A37" s="131"/>
      <c r="B37" s="130"/>
      <c r="C37" s="130"/>
      <c r="D37" s="130" t="s">
        <v>8</v>
      </c>
      <c r="E37" s="130"/>
      <c r="F37" s="130"/>
      <c r="G37" s="130"/>
      <c r="H37" s="130"/>
      <c r="I37" s="130"/>
      <c r="J37" s="130"/>
      <c r="K37" s="131"/>
      <c r="L37" s="127"/>
      <c r="M37" s="130"/>
      <c r="N37" s="130"/>
      <c r="O37" s="146"/>
      <c r="P37" s="130"/>
      <c r="Q37" s="125"/>
      <c r="S37" s="136"/>
      <c r="T37" s="132"/>
      <c r="U37" s="132"/>
      <c r="V37" s="132"/>
      <c r="W37" s="132"/>
      <c r="X37" s="132"/>
    </row>
    <row r="38" spans="1:26" s="40" customFormat="1" ht="10.5" customHeight="1">
      <c r="A38" s="128" t="s">
        <v>0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37"/>
      <c r="T38" s="133"/>
      <c r="U38" s="133"/>
      <c r="V38" s="133"/>
      <c r="W38" s="133"/>
      <c r="X38" s="133"/>
      <c r="Y38" s="128"/>
      <c r="Z38" s="128"/>
    </row>
    <row r="39" spans="1:26" s="42" customFormat="1" ht="12.75">
      <c r="A39" s="141" t="s">
        <v>46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3"/>
      <c r="R39" s="142"/>
      <c r="S39" s="144"/>
      <c r="T39" s="145"/>
      <c r="U39" s="145"/>
      <c r="V39" s="145"/>
      <c r="W39" s="145"/>
      <c r="X39" s="145"/>
      <c r="Y39" s="142"/>
      <c r="Z39" s="142"/>
    </row>
    <row r="40" spans="1:26" s="4" customFormat="1" ht="12.75">
      <c r="A40" s="142" t="s">
        <v>51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3"/>
      <c r="R40" s="142"/>
      <c r="S40" s="144"/>
      <c r="T40" s="145"/>
      <c r="U40" s="145"/>
      <c r="V40" s="145"/>
      <c r="W40" s="145"/>
      <c r="X40" s="145"/>
      <c r="Y40" s="142"/>
      <c r="Z40" s="142"/>
    </row>
    <row r="41" spans="1:26" s="4" customFormat="1" ht="12.75">
      <c r="A41" s="142" t="s">
        <v>71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3"/>
      <c r="R41" s="142"/>
      <c r="S41" s="144"/>
      <c r="T41" s="145"/>
      <c r="U41" s="145"/>
      <c r="V41" s="145"/>
      <c r="W41" s="145"/>
      <c r="X41" s="145"/>
      <c r="Y41" s="142"/>
      <c r="Z41" s="142"/>
    </row>
    <row r="42" spans="1:26" s="4" customFormat="1" ht="12.75">
      <c r="A42" s="122" t="s">
        <v>47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8"/>
      <c r="R42" s="122"/>
      <c r="S42" s="138"/>
      <c r="T42" s="134"/>
      <c r="U42" s="134"/>
      <c r="V42" s="134"/>
      <c r="W42" s="134"/>
      <c r="X42" s="134"/>
      <c r="Y42" s="122"/>
      <c r="Z42" s="122"/>
    </row>
    <row r="43" spans="1:26" s="4" customFormat="1" ht="12.75">
      <c r="A43" s="122" t="s">
        <v>45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8"/>
      <c r="R43" s="122"/>
      <c r="S43" s="138"/>
      <c r="T43" s="134"/>
      <c r="U43" s="134"/>
      <c r="V43" s="134"/>
      <c r="W43" s="134"/>
      <c r="X43" s="134"/>
      <c r="Y43" s="122"/>
      <c r="Z43" s="122"/>
    </row>
    <row r="44" spans="1:26" s="4" customFormat="1" ht="12.75">
      <c r="A44" s="122" t="s">
        <v>48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8"/>
      <c r="R44" s="122"/>
      <c r="S44" s="138"/>
      <c r="T44" s="134"/>
      <c r="U44" s="134"/>
      <c r="V44" s="134"/>
      <c r="W44" s="134"/>
      <c r="X44" s="134"/>
      <c r="Y44" s="122"/>
      <c r="Z44" s="122"/>
    </row>
    <row r="45" spans="1:26" s="4" customFormat="1" ht="12.75">
      <c r="A45" s="122" t="s">
        <v>27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8"/>
      <c r="R45" s="122"/>
      <c r="S45" s="138"/>
      <c r="T45" s="134"/>
      <c r="U45" s="134"/>
      <c r="V45" s="134"/>
      <c r="W45" s="134"/>
      <c r="X45" s="134"/>
      <c r="Y45" s="122"/>
      <c r="Z45" s="122"/>
    </row>
    <row r="46" spans="1:26" s="4" customFormat="1" ht="12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8"/>
      <c r="R46" s="122"/>
      <c r="S46" s="138"/>
      <c r="T46" s="134"/>
      <c r="U46" s="134"/>
      <c r="V46" s="134"/>
      <c r="W46" s="134"/>
      <c r="X46" s="134"/>
      <c r="Y46" s="122"/>
      <c r="Z46" s="122"/>
    </row>
    <row r="47" spans="1:26" s="4" customFormat="1" ht="12.75">
      <c r="A47" s="122" t="s">
        <v>50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8"/>
      <c r="R47" s="122"/>
      <c r="S47" s="138"/>
      <c r="T47" s="134"/>
      <c r="U47" s="134"/>
      <c r="V47" s="134"/>
      <c r="W47" s="134"/>
      <c r="X47" s="134"/>
      <c r="Y47" s="122"/>
      <c r="Z47" s="122"/>
    </row>
    <row r="48" spans="1:26" s="4" customFormat="1" ht="12.75">
      <c r="A48" s="123" t="s">
        <v>75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9"/>
      <c r="R48" s="123"/>
      <c r="S48" s="139"/>
      <c r="T48" s="140"/>
      <c r="U48" s="140"/>
      <c r="V48" s="135"/>
      <c r="W48" s="135"/>
      <c r="X48" s="135"/>
      <c r="Y48" s="123"/>
      <c r="Z48" s="123"/>
    </row>
    <row r="49" spans="1:26" s="11" customFormat="1" ht="12.75">
      <c r="A49" s="123" t="s">
        <v>30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9"/>
      <c r="R49" s="123"/>
      <c r="S49" s="139"/>
      <c r="T49" s="140"/>
      <c r="U49" s="140"/>
      <c r="V49" s="135"/>
      <c r="W49" s="135"/>
      <c r="X49" s="135"/>
      <c r="Y49" s="123"/>
      <c r="Z49" s="123"/>
    </row>
    <row r="50" spans="1:26" s="11" customFormat="1" ht="12.75">
      <c r="A50" s="123" t="s">
        <v>49</v>
      </c>
      <c r="B50" s="121"/>
      <c r="C50" s="124"/>
      <c r="D50" s="121"/>
      <c r="E50" s="121"/>
      <c r="F50" s="124"/>
      <c r="G50" s="121"/>
      <c r="H50" s="121"/>
      <c r="I50" s="121"/>
      <c r="J50" s="121"/>
      <c r="K50" s="121"/>
      <c r="L50" s="121"/>
      <c r="M50" s="121"/>
      <c r="N50" s="123"/>
      <c r="O50" s="123"/>
      <c r="P50" s="121"/>
      <c r="Q50" s="121"/>
      <c r="R50" s="121"/>
      <c r="S50" s="121"/>
      <c r="T50" s="135"/>
      <c r="U50" s="135"/>
      <c r="V50" s="121"/>
      <c r="W50" s="121"/>
      <c r="X50" s="121"/>
      <c r="Y50" s="121"/>
      <c r="Z50" s="121"/>
    </row>
    <row r="51" spans="1:14" ht="12.75">
      <c r="A51" s="31"/>
      <c r="I51" s="30"/>
      <c r="J51" s="30"/>
      <c r="K51" s="30"/>
      <c r="L51" s="30"/>
      <c r="M51" s="30"/>
      <c r="N51" s="30"/>
    </row>
    <row r="52" spans="1:17" ht="12.75">
      <c r="A52" s="11" t="s">
        <v>74</v>
      </c>
      <c r="H52" s="30" t="s">
        <v>72</v>
      </c>
      <c r="J52" s="30"/>
      <c r="N52" s="120"/>
      <c r="O52" s="120"/>
      <c r="Q52" s="120" t="s">
        <v>73</v>
      </c>
    </row>
    <row r="58" spans="1:5" ht="12.75">
      <c r="A58" s="155"/>
      <c r="B58" s="152"/>
      <c r="C58" s="151"/>
      <c r="D58" s="151"/>
      <c r="E58" s="158"/>
    </row>
  </sheetData>
  <sheetProtection password="F795" sheet="1" objects="1" scenarios="1" selectLockedCells="1"/>
  <mergeCells count="12">
    <mergeCell ref="C8:D8"/>
    <mergeCell ref="F8:G8"/>
    <mergeCell ref="J8:K8"/>
    <mergeCell ref="M8:N8"/>
    <mergeCell ref="B7:D7"/>
    <mergeCell ref="M29:N29"/>
    <mergeCell ref="J28:K28"/>
    <mergeCell ref="E7:G7"/>
    <mergeCell ref="H29:K29"/>
    <mergeCell ref="I7:K7"/>
    <mergeCell ref="L7:N7"/>
    <mergeCell ref="M28:N28"/>
  </mergeCells>
  <printOptions/>
  <pageMargins left="0.7874015748031497" right="0.5905511811023623" top="0.4724409448818898" bottom="0.2755905511811024" header="0.5905511811023623" footer="0.7874015748031497"/>
  <pageSetup firstPageNumber="1" useFirstPageNumber="1" horizontalDpi="300" verticalDpi="3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29" sqref="A29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MN 2012</cp:lastModifiedBy>
  <cp:lastPrinted>2014-04-24T21:14:26Z</cp:lastPrinted>
  <dcterms:created xsi:type="dcterms:W3CDTF">2013-09-09T15:11:13Z</dcterms:created>
  <dcterms:modified xsi:type="dcterms:W3CDTF">2014-05-05T20:17:41Z</dcterms:modified>
  <cp:category/>
  <cp:version/>
  <cp:contentType/>
  <cp:contentStatus/>
</cp:coreProperties>
</file>