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5450" windowHeight="10845" activeTab="0"/>
  </bookViews>
  <sheets>
    <sheet name="DRV-FR-Wwe" sheetId="1" r:id="rId1"/>
    <sheet name="Tabelle2" sheetId="2" r:id="rId2"/>
    <sheet name="Tabelle3" sheetId="3" r:id="rId3"/>
  </sheets>
  <definedNames>
    <definedName name="_xlnm.Print_Area" localSheetId="0">'DRV-FR-Wwe'!$A$1:$H$123</definedName>
  </definedNames>
  <calcPr fullCalcOnLoad="1"/>
</workbook>
</file>

<file path=xl/comments1.xml><?xml version="1.0" encoding="utf-8"?>
<comments xmlns="http://schemas.openxmlformats.org/spreadsheetml/2006/main">
  <authors>
    <author>m</author>
  </authors>
  <commentList>
    <comment ref="H10" authorId="0">
      <text>
        <r>
          <rPr>
            <b/>
            <sz val="8"/>
            <rFont val="Tahoma"/>
            <family val="0"/>
          </rPr>
          <t>m:
Witwen-/Witwer-Anteil</t>
        </r>
        <r>
          <rPr>
            <sz val="8"/>
            <rFont val="Tahoma"/>
            <family val="0"/>
          </rPr>
          <t xml:space="preserve">
Altes  Recht = 60%
Neues Recht = 55%</t>
        </r>
      </text>
    </comment>
    <comment ref="H13" authorId="0">
      <text>
        <r>
          <rPr>
            <b/>
            <sz val="8"/>
            <rFont val="Tahoma"/>
            <family val="0"/>
          </rPr>
          <t>m:
Witwen-/Witwer-Anteil</t>
        </r>
        <r>
          <rPr>
            <sz val="8"/>
            <rFont val="Tahoma"/>
            <family val="0"/>
          </rPr>
          <t xml:space="preserve">
Altes  Recht = 60%
Neues Recht = 55%</t>
        </r>
      </text>
    </comment>
    <comment ref="G38" authorId="0">
      <text>
        <r>
          <rPr>
            <b/>
            <sz val="8"/>
            <rFont val="Tahoma"/>
            <family val="0"/>
          </rPr>
          <t xml:space="preserve">m:
Summe </t>
        </r>
        <r>
          <rPr>
            <sz val="8"/>
            <rFont val="Tahoma"/>
            <family val="0"/>
          </rPr>
          <t xml:space="preserve">Kranken- und Pflegeversicherung der Rentner
</t>
        </r>
      </text>
    </comment>
    <comment ref="G39" authorId="0">
      <text>
        <r>
          <rPr>
            <b/>
            <sz val="8"/>
            <rFont val="Tahoma"/>
            <family val="0"/>
          </rPr>
          <t xml:space="preserve">m:
</t>
        </r>
        <r>
          <rPr>
            <b/>
            <sz val="8"/>
            <rFont val="Tahoma"/>
            <family val="2"/>
          </rPr>
          <t>Summe</t>
        </r>
        <r>
          <rPr>
            <sz val="8"/>
            <rFont val="Tahoma"/>
            <family val="2"/>
          </rPr>
          <t xml:space="preserve"> Gesetzliche Kranken- und Pflegeversicherung
</t>
        </r>
        <r>
          <rPr>
            <sz val="8"/>
            <rFont val="Tahoma"/>
            <family val="0"/>
          </rPr>
          <t xml:space="preserve">
</t>
        </r>
      </text>
    </comment>
    <comment ref="C38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Krankenversicherung der Rentner (KVdR)
</t>
        </r>
      </text>
    </comment>
    <comment ref="C39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Gesetzliche Kranken-versicherung (GKV)
Vollbeitrag</t>
        </r>
      </text>
    </comment>
    <comment ref="C33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1,95% (mit Kindern) oder 2,20% (ohne Kinder)</t>
        </r>
      </text>
    </comment>
    <comment ref="C34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718,08 € = alte Bundesländer oder
637,03 € = neue Bundesländer
</t>
        </r>
      </text>
    </comment>
    <comment ref="D33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0 oder Anzahl Kinder eingeben
</t>
        </r>
      </text>
    </comment>
    <comment ref="D34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0 oder 1 eingeben</t>
        </r>
      </text>
    </comment>
    <comment ref="C10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Eingabe der DRV-Brutto-Rente des Mannes</t>
        </r>
      </text>
    </comment>
    <comment ref="B38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KVdR=Kranken-versicherung der Rentner
PVdR= Pflege-versicherung der Rentner</t>
        </r>
      </text>
    </comment>
    <comment ref="B39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GKV=Gesetzliche Krankenversicherung
GPV=Gesetzliche Pflegeversicherung</t>
        </r>
      </text>
    </comment>
    <comment ref="D28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%-Satz für den Abzug je nach Einkunftsart gemäß Richtlinien der DRV anpassen</t>
        </r>
      </text>
    </comment>
    <comment ref="D29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%-Satz für den Abzug je nach Einkunftsart gemäß Richtlinien der DRV anpassen</t>
        </r>
      </text>
    </comment>
    <comment ref="F38" authorId="0">
      <text>
        <r>
          <rPr>
            <b/>
            <sz val="8"/>
            <rFont val="Tahoma"/>
            <family val="0"/>
          </rPr>
          <t xml:space="preserve">m:
</t>
        </r>
        <r>
          <rPr>
            <sz val="8"/>
            <rFont val="Tahoma"/>
            <family val="2"/>
          </rPr>
          <t>Gesetzliche Pfleversicherung (GPV)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1,95% mit Kindern
2,20%  ohne Kinder</t>
        </r>
      </text>
    </comment>
    <comment ref="F39" authorId="0">
      <text>
        <r>
          <rPr>
            <b/>
            <sz val="8"/>
            <rFont val="Tahoma"/>
            <family val="0"/>
          </rPr>
          <t xml:space="preserve">m:
</t>
        </r>
        <r>
          <rPr>
            <sz val="8"/>
            <rFont val="Tahoma"/>
            <family val="2"/>
          </rPr>
          <t>Gesetzliche Pfleversicherung (GPV)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1,95% mit Kindern
2,20%  ohne Kinder</t>
        </r>
      </text>
    </comment>
    <comment ref="D8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KV=Krankenversicherung
PV= Pflegeversicherung </t>
        </r>
      </text>
    </comment>
    <comment ref="C13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Eingabe der DRV-Brutto-Rente des Mannes</t>
        </r>
      </text>
    </comment>
    <comment ref="F8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KV=Krankenversicherung 
PV= Pflegeversicherung
jeweils bis maximal zur Beitragsbemessungsgrenze von € 3.750,- </t>
        </r>
      </text>
    </comment>
    <comment ref="C11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Eingabe der DRV-Brutto-Rente des Mannes</t>
        </r>
      </text>
    </comment>
    <comment ref="F11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Beitragsbemessungsgrenze € 3.750,- je Versicherten
für KV/PV</t>
        </r>
      </text>
    </comment>
    <comment ref="H11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%-Satz der Betriebsrente für den Hinterbliebenen gemäss Firmenrichtlinien</t>
        </r>
      </text>
    </comment>
    <comment ref="C14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Eingabe der DRV-Brutto-Rente des Mannes</t>
        </r>
      </text>
    </comment>
    <comment ref="F14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Beitragsbemessungsgrenze € 3.750,- je Versicherten
für KV/PV
</t>
        </r>
      </text>
    </comment>
    <comment ref="H14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%-Satz der Betriebsrente für den Hinterbliebenen gemäss Firmenrichtlinien</t>
        </r>
      </text>
    </comment>
    <comment ref="J39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Gesetzliche Kranken-versicherung (GKV)
Vollbeitrag</t>
        </r>
      </text>
    </comment>
    <comment ref="E28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%-Satz für den Abzug je nach Einkunftsart gemäß Richtlinien der DRV anpassen</t>
        </r>
      </text>
    </comment>
    <comment ref="E29" authorId="0">
      <text>
        <r>
          <rPr>
            <b/>
            <sz val="8"/>
            <rFont val="Tahoma"/>
            <family val="0"/>
          </rPr>
          <t>m:</t>
        </r>
        <r>
          <rPr>
            <sz val="8"/>
            <rFont val="Tahoma"/>
            <family val="0"/>
          </rPr>
          <t xml:space="preserve">
%-Satz für den Abzug je nach Einkunftsart gemäß Richtlinien der DRV anpassen</t>
        </r>
      </text>
    </comment>
  </commentList>
</comments>
</file>

<file path=xl/sharedStrings.xml><?xml version="1.0" encoding="utf-8"?>
<sst xmlns="http://schemas.openxmlformats.org/spreadsheetml/2006/main" count="178" uniqueCount="135">
  <si>
    <t>Mann</t>
  </si>
  <si>
    <t>Frau</t>
  </si>
  <si>
    <t>Anrechenbar</t>
  </si>
  <si>
    <t>Einkünfte</t>
  </si>
  <si>
    <t>brutto €</t>
  </si>
  <si>
    <t>Abzüge %</t>
  </si>
  <si>
    <t>Summe</t>
  </si>
  <si>
    <t>netto €</t>
  </si>
  <si>
    <t>60% / 55%</t>
  </si>
  <si>
    <t>Renten</t>
  </si>
  <si>
    <t>alt / neu %</t>
  </si>
  <si>
    <t>1) Rentenwerte monatlich</t>
  </si>
  <si>
    <t xml:space="preserve">2) Anrechenbarkeit von Einkünften auf die </t>
  </si>
  <si>
    <t>ab 01.01.2002</t>
  </si>
  <si>
    <t xml:space="preserve">  anzurechnende Einkünfte netto</t>
  </si>
  <si>
    <t xml:space="preserve">  Unter Berücksichtigung der Richtlinien der Deutschen Rentenversicherung können weitere Einkünfte</t>
  </si>
  <si>
    <t>Mann - anrechenbar</t>
  </si>
  <si>
    <t xml:space="preserve">  Es handelt sich hier um Beispielrechnungen als Orientierungswerte,  ohne Garantie auf Vollständigkeit und Richtigkeit.</t>
  </si>
  <si>
    <t>Frau   - anrechenbar</t>
  </si>
  <si>
    <t xml:space="preserve"> </t>
  </si>
  <si>
    <t xml:space="preserve">  KVdR/PVdR - Vers.Anteil  / Gesetzl. Rente  - %</t>
  </si>
  <si>
    <t>A) "Altes Recht" - Vertrauensschutzregelung</t>
  </si>
  <si>
    <t>4) DRV - Hinterbliebenen-Rente - "altes Recht"</t>
  </si>
  <si>
    <t>5) DRV - Hinterbliebenen-Rente - "neues Recht"</t>
  </si>
  <si>
    <t>DRV - Hinterbliebenen-Rente netto - "neues Recht"</t>
  </si>
  <si>
    <t xml:space="preserve">  GKV/GPV - Voll-Beitrag / Betriebsrente    - %</t>
  </si>
  <si>
    <t>mit Berücksichtigung von Zusatzeinkünften - zum selbst berechnen</t>
  </si>
  <si>
    <t>(siehe Anmerkungen am Ende der Tabellen)</t>
  </si>
  <si>
    <t xml:space="preserve">    ggf. unter "sonstige Einkünfte" mit den anrechenbaren Werten eingetragen werden. </t>
  </si>
  <si>
    <t>Hinterbl-Rente</t>
  </si>
  <si>
    <t>Hinterbliebenen-Rente aus brutto vom Partner - 55 %</t>
  </si>
  <si>
    <t>Hinterbliebenen-Rente aus brutto vom Partner - 60 %</t>
  </si>
  <si>
    <t xml:space="preserve">  weitere anrechenbare Einkünfte (lt. Tabelle 2)</t>
  </si>
  <si>
    <t xml:space="preserve">  Hinterbliebenen-Rente einschl. Kinderzuschläge</t>
  </si>
  <si>
    <t>Hinterbliebenen-Rente - ab dem 01.01.2002</t>
  </si>
  <si>
    <t xml:space="preserve">  Mann - Erwerbs-Einkünfte - falls noch in Arbeit</t>
  </si>
  <si>
    <t xml:space="preserve">  Frau  - Erwerbs-Einkünfte - falls noch in Arbeit</t>
  </si>
  <si>
    <t xml:space="preserve">    verringern, d.h. es kann zu höheren Teilkürzungen oder gar zum Wegfall der vollständigen Hinterbliebenen-Rente führen.</t>
  </si>
  <si>
    <t xml:space="preserve">  Auch beim "alten Recht" werden Versichertenrenten und Erwerbs-Einkünfte bereits auf die Hinterbliebenen-Rente angerechnet.</t>
  </si>
  <si>
    <t xml:space="preserve">  Mann - "Sonstige Einkünfte" - freie Eingabe - änderbar</t>
  </si>
  <si>
    <t xml:space="preserve">  Frau   - "Sonstige Einkünfte" - freie Eingabe - änderbar</t>
  </si>
  <si>
    <t xml:space="preserve"> Hinterbliebenen-Rente nach "altem" sowie "neuem Recht"</t>
  </si>
  <si>
    <t>KV %</t>
  </si>
  <si>
    <t>KV Zusatz %</t>
  </si>
  <si>
    <t>PV %</t>
  </si>
  <si>
    <t>Pflegeversicherungsbeitrag (2,20% oder 1,95%)</t>
  </si>
  <si>
    <t>Summe KV/PV %</t>
  </si>
  <si>
    <t xml:space="preserve">Freibetrag für Hinterbl-Rente (637,03 € oder 718,08 €) </t>
  </si>
  <si>
    <t xml:space="preserve">     bei Heirat vor dem 1. Januar 2002 und wenn mindestens ein Ehepartner vor dem 2. Januar 1962 geboren wurde</t>
  </si>
  <si>
    <t>B) "Neues Recht" -  wenn beide Ehepartner nach dem 1. Januar 1962 geboren sind</t>
  </si>
  <si>
    <t xml:space="preserve">     bei Heirat ab dem 1. Januar 2002 ist das Lebensalter unerheblich, es gilt immer das "neue Recht"</t>
  </si>
  <si>
    <t xml:space="preserve">  1) Eingabewerte der DRV-Renten und Betriebsrenten für die Berechnung der Hinterbliebenen-Rente (Werte größer oder gleich Null (0))</t>
  </si>
  <si>
    <t xml:space="preserve">  2) Anrechenbarkeit von Einkünften auf die Hinterbliebenen-Rente  nach "altem" und "neuem Recht"</t>
  </si>
  <si>
    <t xml:space="preserve">  3) Sozialversicherungs-Beiträge (KVdR und PVdR, d.h. Kranken- und Pflegeversicherung der Rentner) für Pflichtversicherte</t>
  </si>
  <si>
    <t xml:space="preserve">  5) Berechnung der Hinterbliebenen-Rente nach "neuem Recht" (55 %), unter Berücksichtigung von Zusatz-Einkünften</t>
  </si>
  <si>
    <t xml:space="preserve">  4) Berechnung der Hinterbliebenen-Rente nach "altem  Recht" (60 %), ohne Berücksichtigung von Zusatz-Einkünften</t>
  </si>
  <si>
    <t>Berechnungsgrundlagen</t>
  </si>
  <si>
    <t xml:space="preserve">  In die Berechnungen wurden die gängigsten Einkunftsarten für Arbeitnehmer einbezogen,</t>
  </si>
  <si>
    <t xml:space="preserve">    (nicht jedoch  z.B. Beamtenpensionen, berufsständische Versorgungsrenten, Renten aus Privatversicherungen).</t>
  </si>
  <si>
    <t xml:space="preserve">  Es konnten bei diesen Rechentabellen nicht alle Aspekte des (neuen) "Rentenrechts" berücksichtigt werden.</t>
  </si>
  <si>
    <t xml:space="preserve">  Für die ersten drei Monate erhält der Hinterbliebene ohne Einkommensanrechnung weiter die volle Rente des Verstorbenen.</t>
  </si>
  <si>
    <t xml:space="preserve">  Ebenso sind steuerliche Aspekte bei diesen Renten-Berechnungen ausgeklammert.</t>
  </si>
  <si>
    <t>Schlussbemerkungen</t>
  </si>
  <si>
    <t xml:space="preserve">  Bei der Hinterbliebenen-Rente werden eigene Einkünfte, die über den Freibeträgen (derzeit alte Bundesländer: 718,08 €; </t>
  </si>
  <si>
    <t xml:space="preserve">  Durch Einkünfte, die nach dem "neuen Recht" zusätzlich angerechnet werden, kann sich die Hinterbliebenen-Rente wesentlich</t>
  </si>
  <si>
    <t xml:space="preserve">  Die Erhebung der aktuellen Zusatz-Einkünfte nach "neuem Recht" wird zu erheblichem Verwaltungsmehraufwand der DRV führen.</t>
  </si>
  <si>
    <t xml:space="preserve">  Beim Rentensplitting gibt es keine Hinterbliebenen-Rente; auch dieser Aspekt wird hier nicht berücksichtigt. </t>
  </si>
  <si>
    <t xml:space="preserve">    neue Bundesländer: 637,03 €) liegen, zu 40% auf die Hinterbliebenen-Rente angerechnet. </t>
  </si>
  <si>
    <t>gelbe Felder - Eingabe eigene Werte (größer oder gleich Null (0))</t>
  </si>
  <si>
    <t>Orientierungshilfe zur Berechnung der DRV-Hinterbliebenen-Rente nach "altem" sowie "neuem Versicherungsrecht"</t>
  </si>
  <si>
    <t>KV/PV</t>
  </si>
  <si>
    <t xml:space="preserve">Eingaben der Werte und Parameter, sowie die Berechnungen </t>
  </si>
  <si>
    <t>Beitragsbemes-</t>
  </si>
  <si>
    <t xml:space="preserve">  Betriebs-Rente vom Verstorbenem brutto / netto (-KV/PV)</t>
  </si>
  <si>
    <t xml:space="preserve">  Betriebs-Rente eigen brutto / netto (-KV/PV)</t>
  </si>
  <si>
    <t xml:space="preserve">      bei der gesetzlichen Rentenversicherung wurden mit den aktuellen Werten berechnet.</t>
  </si>
  <si>
    <t xml:space="preserve">  abzüglich Freibetrag (2010) - alte BL bzw. neue BL</t>
  </si>
  <si>
    <t xml:space="preserve">    wie Versichertenrenten, Betriebsrenten, Miet-Einkünfte, Kapital-Einkünfte und Arbeitseinkommen,</t>
  </si>
  <si>
    <t xml:space="preserve">    0 = ohne Kinder; oder Anzahl Kinder</t>
  </si>
  <si>
    <t>* neues Recht</t>
  </si>
  <si>
    <t>Mann *</t>
  </si>
  <si>
    <t>Frau *</t>
  </si>
  <si>
    <t>Mann + Frau *</t>
  </si>
  <si>
    <t>Kinderzuschläge (1.Kind=2EP+ab 2.Kind je 1EP)</t>
  </si>
  <si>
    <t xml:space="preserve">  übersteigt Freibetrag um </t>
  </si>
  <si>
    <t xml:space="preserve">  davon 40 % Anrechnung</t>
  </si>
  <si>
    <t xml:space="preserve">  übersteigt Freibetrag um</t>
  </si>
  <si>
    <t>DRV = Deutsche Rentenversicherung</t>
  </si>
  <si>
    <t>Gesamt - Hinterbliebenen-Rente brutto/netto - "neues Recht"</t>
  </si>
  <si>
    <t>Gesamt - Hinterbliebenen-Rente brutto/netto - "altes Recht"</t>
  </si>
  <si>
    <t xml:space="preserve">  davon vom Verstorbenen brutto / netto</t>
  </si>
  <si>
    <t xml:space="preserve">     Brutto- / Netto-Renten - Lebensfall</t>
  </si>
  <si>
    <t xml:space="preserve">  Mann - DRV-Rente - brutto / netto</t>
  </si>
  <si>
    <t xml:space="preserve">  Mann - Betriebsrente  - brutto / netto</t>
  </si>
  <si>
    <t>Mann - Renten - Summe - brutto / netto</t>
  </si>
  <si>
    <t xml:space="preserve">  Frau  - DRV-Rente - brutto / netto</t>
  </si>
  <si>
    <t xml:space="preserve">  Frau  - Betriebsrente - brutto / netto</t>
  </si>
  <si>
    <t>Frau - Renten - Summe - brutto / netto</t>
  </si>
  <si>
    <t>Summe Renten - Gemeinsam - brutto / netto</t>
  </si>
  <si>
    <t>monatlich €</t>
  </si>
  <si>
    <t>"altes Recht" €</t>
  </si>
  <si>
    <t>"neues Recht" €</t>
  </si>
  <si>
    <t>sungsgrenze €</t>
  </si>
  <si>
    <t>Mann brutto €</t>
  </si>
  <si>
    <t>Mann netto €</t>
  </si>
  <si>
    <t>Frau brutto €</t>
  </si>
  <si>
    <t>Frau netto €</t>
  </si>
  <si>
    <t xml:space="preserve">  Gemeinsam - Kapital-Einkünfte - jedem anrechenbar</t>
  </si>
  <si>
    <t xml:space="preserve">  Gemeinsam - Miet-Einkünfte  - jedem anrechenbar</t>
  </si>
  <si>
    <t xml:space="preserve">  verbleibende Hinterbl-Rente nach Kürzung brutto / netto</t>
  </si>
  <si>
    <t>DRV - Hinterbliebenen-Rente brutto / netto - "altes Recht"</t>
  </si>
  <si>
    <t xml:space="preserve">  davon eigene Rente brutto/ netto</t>
  </si>
  <si>
    <t xml:space="preserve">  Kürzung Hinterbliebenen-Rente (jedoch höchstens auf 0)</t>
  </si>
  <si>
    <t xml:space="preserve">  dazu Kinderzuschläge (1.Kind=2EP+ab 2.Kind je 1EP)</t>
  </si>
  <si>
    <t>eigene DRV-Altersrente brutto / netto (-KV/PV)</t>
  </si>
  <si>
    <t>Beitrag %</t>
  </si>
  <si>
    <t>Beitrag €</t>
  </si>
  <si>
    <t xml:space="preserve">  Mann - Betriebsrente (Bruttorente - nachgel. Besteuerung)</t>
  </si>
  <si>
    <t xml:space="preserve">  Frau  - Betriebsrente (Bruttorente - nachgel. Besteuerung)</t>
  </si>
  <si>
    <t>altes R</t>
  </si>
  <si>
    <t>neues R</t>
  </si>
  <si>
    <t>3) Sozial-Versicherungs-Beiträge ab 01.01.2011</t>
  </si>
  <si>
    <t xml:space="preserve">      Beitragsbemessungsgrenzen der KV/PV  (derzeit € 3.712,50/Monat)  wurden  bei der Hinterbliebenenrente nicht berücksichtigt.</t>
  </si>
  <si>
    <t xml:space="preserve">  Broschüre der „Deutschen Rentenversicherung (DRV)“, siehe „Hinterbliebenen-Rente: Hilfe in schweren Zeiten (7/2010)“.</t>
  </si>
  <si>
    <t xml:space="preserve">  eigene Altersrente brutto ( - 14 %) - Anrechnungsbasis</t>
  </si>
  <si>
    <t>KV/PV €</t>
  </si>
  <si>
    <t xml:space="preserve">  Mann - DRV-Rente Brutto (abzügl. Pauschale)</t>
  </si>
  <si>
    <t>L003 1102 2   -  Seite 1 von 3</t>
  </si>
  <si>
    <t>L003 1102 2   -  Seite 2 von 3</t>
  </si>
  <si>
    <t>L003 1102 2   -  Seite 3 von 3</t>
  </si>
  <si>
    <t xml:space="preserve">    0 = neue Bundesländer; 1 = alte Bundesländer</t>
  </si>
  <si>
    <t>MN</t>
  </si>
  <si>
    <t xml:space="preserve"> je EP</t>
  </si>
  <si>
    <t>EP</t>
  </si>
  <si>
    <t>Februar 2011   -   www.adg-ev.de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</si>
</sst>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_-* #,##0.0\ [$€-1]_-;\-* #,##0.0\ [$€-1]_-;_-* &quot;-&quot;??\ [$€-1]_-"/>
    <numFmt numFmtId="174" formatCode="_-* #,##0\ [$€-1]_-;\-* #,##0\ [$€-1]_-;_-* &quot;-&quot;??\ [$€-1]_-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00"/>
    <numFmt numFmtId="183" formatCode="_-* #,##0.000\ [$€-1]_-;\-* #,##0.000\ [$€-1]_-;_-* &quot;-&quot;???\ [$€-1]_-;_-@_-"/>
    <numFmt numFmtId="184" formatCode="#,##0.0000"/>
    <numFmt numFmtId="185" formatCode="_-* #,##0.00\ [$€-1]_-;\-* #,##0.00\ [$€-1]_-;_-* &quot;-&quot;??\ [$€-1]_-;_-@_-"/>
    <numFmt numFmtId="186" formatCode="[$-407]dddd\,\ d\.\ mmmm\ yyyy"/>
    <numFmt numFmtId="187" formatCode="dd/mm/yy;@"/>
    <numFmt numFmtId="188" formatCode="d/m/yyyy;@"/>
    <numFmt numFmtId="189" formatCode="#,##0.00_ ;\-#,##0.00\ "/>
    <numFmt numFmtId="190" formatCode="_-[$€-2]\ * #,##0.00_-;\-[$€-2]\ * #,##0.00_-;_-[$€-2]\ * &quot;-&quot;??_-;_-@_-"/>
    <numFmt numFmtId="191" formatCode="#,##0_ ;\-#,##0\ "/>
    <numFmt numFmtId="192" formatCode="#,##0.00_ ;[Red]\-#,##0.00\ "/>
    <numFmt numFmtId="193" formatCode="#,##0.00\ [$€-1];[Red]\-#,##0.00\ [$€-1]"/>
    <numFmt numFmtId="194" formatCode="#,##0.00\ [$€-1];\-#,##0.00\ [$€-1]"/>
    <numFmt numFmtId="195" formatCode="0.0%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#,##0_ ;[Red]\-#,##0\ "/>
    <numFmt numFmtId="201" formatCode="0_ ;[Red]\-0\ "/>
    <numFmt numFmtId="202" formatCode="#,##0.00\ &quot;€&quot;"/>
    <numFmt numFmtId="203" formatCode="[$-407]mmmm\ yy;@"/>
    <numFmt numFmtId="204" formatCode="[$-407]d/\ mmm/\ yyyy;@"/>
    <numFmt numFmtId="205" formatCode="[$-407]d/\ mmmm\ yyyy;@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20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8" fontId="0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center"/>
    </xf>
    <xf numFmtId="193" fontId="0" fillId="0" borderId="0" xfId="47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21" borderId="0" xfId="0" applyFont="1" applyFill="1" applyBorder="1" applyAlignment="1">
      <alignment/>
    </xf>
    <xf numFmtId="49" fontId="0" fillId="24" borderId="10" xfId="0" applyNumberFormat="1" applyFont="1" applyFill="1" applyBorder="1" applyAlignment="1">
      <alignment/>
    </xf>
    <xf numFmtId="10" fontId="0" fillId="24" borderId="11" xfId="0" applyNumberFormat="1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/>
    </xf>
    <xf numFmtId="9" fontId="0" fillId="0" borderId="14" xfId="0" applyNumberFormat="1" applyFont="1" applyFill="1" applyBorder="1" applyAlignment="1">
      <alignment horizontal="center"/>
    </xf>
    <xf numFmtId="49" fontId="0" fillId="24" borderId="15" xfId="0" applyNumberFormat="1" applyFont="1" applyFill="1" applyBorder="1" applyAlignment="1">
      <alignment/>
    </xf>
    <xf numFmtId="10" fontId="0" fillId="24" borderId="16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93" fontId="0" fillId="24" borderId="16" xfId="47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8" fontId="0" fillId="0" borderId="16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10" fontId="0" fillId="0" borderId="16" xfId="0" applyNumberFormat="1" applyFont="1" applyFill="1" applyBorder="1" applyAlignment="1" applyProtection="1">
      <alignment horizontal="center"/>
      <protection/>
    </xf>
    <xf numFmtId="0" fontId="0" fillId="24" borderId="16" xfId="0" applyFont="1" applyFill="1" applyBorder="1" applyAlignment="1">
      <alignment horizontal="center"/>
    </xf>
    <xf numFmtId="49" fontId="0" fillId="24" borderId="18" xfId="0" applyNumberFormat="1" applyFont="1" applyFill="1" applyBorder="1" applyAlignment="1">
      <alignment/>
    </xf>
    <xf numFmtId="8" fontId="0" fillId="21" borderId="19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Fill="1" applyBorder="1" applyAlignment="1" applyProtection="1">
      <alignment/>
      <protection/>
    </xf>
    <xf numFmtId="8" fontId="0" fillId="24" borderId="2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195" fontId="0" fillId="21" borderId="19" xfId="0" applyNumberFormat="1" applyFont="1" applyFill="1" applyBorder="1" applyAlignment="1" applyProtection="1">
      <alignment horizontal="center"/>
      <protection locked="0"/>
    </xf>
    <xf numFmtId="195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8" fontId="0" fillId="0" borderId="0" xfId="0" applyNumberFormat="1" applyFont="1" applyFill="1" applyBorder="1" applyAlignment="1" applyProtection="1">
      <alignment/>
      <protection/>
    </xf>
    <xf numFmtId="200" fontId="0" fillId="0" borderId="0" xfId="0" applyNumberFormat="1" applyFont="1" applyBorder="1" applyAlignment="1">
      <alignment/>
    </xf>
    <xf numFmtId="10" fontId="0" fillId="0" borderId="17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10" fontId="0" fillId="0" borderId="11" xfId="0" applyNumberFormat="1" applyFont="1" applyFill="1" applyBorder="1" applyAlignment="1" applyProtection="1">
      <alignment/>
      <protection/>
    </xf>
    <xf numFmtId="10" fontId="0" fillId="0" borderId="11" xfId="0" applyNumberFormat="1" applyFont="1" applyBorder="1" applyAlignment="1">
      <alignment horizontal="left"/>
    </xf>
    <xf numFmtId="0" fontId="0" fillId="0" borderId="11" xfId="0" applyBorder="1" applyAlignment="1">
      <alignment/>
    </xf>
    <xf numFmtId="191" fontId="0" fillId="0" borderId="16" xfId="0" applyNumberFormat="1" applyFont="1" applyFill="1" applyBorder="1" applyAlignment="1" applyProtection="1">
      <alignment/>
      <protection/>
    </xf>
    <xf numFmtId="8" fontId="0" fillId="0" borderId="16" xfId="0" applyNumberFormat="1" applyFont="1" applyFill="1" applyBorder="1" applyAlignment="1" applyProtection="1">
      <alignment horizontal="right"/>
      <protection/>
    </xf>
    <xf numFmtId="49" fontId="0" fillId="0" borderId="10" xfId="0" applyNumberFormat="1" applyFont="1" applyFill="1" applyBorder="1" applyAlignment="1">
      <alignment/>
    </xf>
    <xf numFmtId="10" fontId="0" fillId="0" borderId="11" xfId="0" applyNumberFormat="1" applyFont="1" applyFill="1" applyBorder="1" applyAlignment="1" applyProtection="1">
      <alignment horizontal="center"/>
      <protection/>
    </xf>
    <xf numFmtId="10" fontId="0" fillId="0" borderId="11" xfId="0" applyNumberFormat="1" applyFont="1" applyFill="1" applyBorder="1" applyAlignment="1">
      <alignment horizontal="center"/>
    </xf>
    <xf numFmtId="10" fontId="0" fillId="0" borderId="12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21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49" fontId="0" fillId="24" borderId="24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4" borderId="24" xfId="0" applyNumberFormat="1" applyFont="1" applyFill="1" applyBorder="1" applyAlignment="1">
      <alignment/>
    </xf>
    <xf numFmtId="49" fontId="0" fillId="4" borderId="22" xfId="0" applyNumberFormat="1" applyFont="1" applyFill="1" applyBorder="1" applyAlignment="1">
      <alignment/>
    </xf>
    <xf numFmtId="0" fontId="0" fillId="4" borderId="27" xfId="0" applyFont="1" applyFill="1" applyBorder="1" applyAlignment="1">
      <alignment/>
    </xf>
    <xf numFmtId="0" fontId="0" fillId="4" borderId="21" xfId="0" applyFont="1" applyFill="1" applyBorder="1" applyAlignment="1">
      <alignment horizontal="center"/>
    </xf>
    <xf numFmtId="201" fontId="0" fillId="21" borderId="19" xfId="0" applyNumberFormat="1" applyFont="1" applyFill="1" applyBorder="1" applyAlignment="1" applyProtection="1">
      <alignment horizontal="right"/>
      <protection locked="0"/>
    </xf>
    <xf numFmtId="8" fontId="0" fillId="24" borderId="0" xfId="0" applyNumberFormat="1" applyFont="1" applyFill="1" applyBorder="1" applyAlignment="1">
      <alignment horizontal="right"/>
    </xf>
    <xf numFmtId="10" fontId="0" fillId="24" borderId="28" xfId="0" applyNumberFormat="1" applyFont="1" applyFill="1" applyBorder="1" applyAlignment="1">
      <alignment horizontal="center"/>
    </xf>
    <xf numFmtId="49" fontId="0" fillId="24" borderId="16" xfId="0" applyNumberFormat="1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8" fontId="0" fillId="4" borderId="0" xfId="0" applyNumberFormat="1" applyFont="1" applyFill="1" applyBorder="1" applyAlignment="1">
      <alignment horizontal="right"/>
    </xf>
    <xf numFmtId="0" fontId="0" fillId="4" borderId="12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193" fontId="0" fillId="4" borderId="16" xfId="47" applyNumberFormat="1" applyFont="1" applyFill="1" applyBorder="1" applyAlignment="1">
      <alignment/>
    </xf>
    <xf numFmtId="0" fontId="0" fillId="24" borderId="29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10" fontId="0" fillId="24" borderId="20" xfId="0" applyNumberFormat="1" applyFont="1" applyFill="1" applyBorder="1" applyAlignment="1">
      <alignment horizontal="left"/>
    </xf>
    <xf numFmtId="49" fontId="0" fillId="24" borderId="31" xfId="0" applyNumberFormat="1" applyFont="1" applyFill="1" applyBorder="1" applyAlignment="1">
      <alignment/>
    </xf>
    <xf numFmtId="49" fontId="0" fillId="4" borderId="31" xfId="0" applyNumberFormat="1" applyFont="1" applyFill="1" applyBorder="1" applyAlignment="1">
      <alignment/>
    </xf>
    <xf numFmtId="49" fontId="0" fillId="4" borderId="32" xfId="0" applyNumberFormat="1" applyFont="1" applyFill="1" applyBorder="1" applyAlignment="1">
      <alignment/>
    </xf>
    <xf numFmtId="202" fontId="0" fillId="0" borderId="0" xfId="0" applyNumberFormat="1" applyFont="1" applyFill="1" applyBorder="1" applyAlignment="1">
      <alignment horizontal="right"/>
    </xf>
    <xf numFmtId="49" fontId="23" fillId="24" borderId="10" xfId="0" applyNumberFormat="1" applyFont="1" applyFill="1" applyBorder="1" applyAlignment="1">
      <alignment/>
    </xf>
    <xf numFmtId="1" fontId="0" fillId="0" borderId="14" xfId="0" applyNumberFormat="1" applyFont="1" applyFill="1" applyBorder="1" applyAlignment="1" applyProtection="1">
      <alignment horizontal="right"/>
      <protection/>
    </xf>
    <xf numFmtId="1" fontId="0" fillId="0" borderId="12" xfId="0" applyNumberFormat="1" applyFont="1" applyFill="1" applyBorder="1" applyAlignment="1" applyProtection="1">
      <alignment horizontal="right"/>
      <protection/>
    </xf>
    <xf numFmtId="10" fontId="0" fillId="0" borderId="0" xfId="0" applyNumberFormat="1" applyFont="1" applyFill="1" applyBorder="1" applyAlignment="1" applyProtection="1">
      <alignment horizontal="center"/>
      <protection/>
    </xf>
    <xf numFmtId="49" fontId="25" fillId="0" borderId="0" xfId="0" applyNumberFormat="1" applyFont="1" applyFill="1" applyBorder="1" applyAlignment="1">
      <alignment/>
    </xf>
    <xf numFmtId="10" fontId="25" fillId="0" borderId="0" xfId="0" applyNumberFormat="1" applyFont="1" applyFill="1" applyBorder="1" applyAlignment="1" applyProtection="1">
      <alignment horizontal="center"/>
      <protection/>
    </xf>
    <xf numFmtId="10" fontId="25" fillId="0" borderId="0" xfId="0" applyNumberFormat="1" applyFont="1" applyFill="1" applyBorder="1" applyAlignment="1">
      <alignment horizontal="center"/>
    </xf>
    <xf numFmtId="8" fontId="25" fillId="0" borderId="0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49" fontId="0" fillId="0" borderId="16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49" fontId="0" fillId="0" borderId="20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8" fontId="25" fillId="0" borderId="0" xfId="0" applyNumberFormat="1" applyFont="1" applyFill="1" applyBorder="1" applyAlignment="1" applyProtection="1">
      <alignment horizontal="right"/>
      <protection/>
    </xf>
    <xf numFmtId="49" fontId="0" fillId="0" borderId="18" xfId="0" applyNumberFormat="1" applyFont="1" applyFill="1" applyBorder="1" applyAlignment="1">
      <alignment/>
    </xf>
    <xf numFmtId="9" fontId="0" fillId="0" borderId="28" xfId="0" applyNumberFormat="1" applyFont="1" applyFill="1" applyBorder="1" applyAlignment="1">
      <alignment horizontal="center"/>
    </xf>
    <xf numFmtId="10" fontId="0" fillId="0" borderId="20" xfId="0" applyNumberFormat="1" applyFont="1" applyFill="1" applyBorder="1" applyAlignment="1" applyProtection="1">
      <alignment horizontal="center"/>
      <protection/>
    </xf>
    <xf numFmtId="49" fontId="0" fillId="24" borderId="15" xfId="0" applyNumberFormat="1" applyFont="1" applyFill="1" applyBorder="1" applyAlignment="1">
      <alignment horizontal="left"/>
    </xf>
    <xf numFmtId="49" fontId="23" fillId="4" borderId="32" xfId="0" applyNumberFormat="1" applyFont="1" applyFill="1" applyBorder="1" applyAlignment="1">
      <alignment horizontal="left"/>
    </xf>
    <xf numFmtId="49" fontId="23" fillId="24" borderId="32" xfId="0" applyNumberFormat="1" applyFont="1" applyFill="1" applyBorder="1" applyAlignment="1">
      <alignment horizontal="left"/>
    </xf>
    <xf numFmtId="49" fontId="0" fillId="0" borderId="33" xfId="0" applyNumberFormat="1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49" fontId="0" fillId="24" borderId="35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8" fontId="0" fillId="0" borderId="13" xfId="0" applyNumberFormat="1" applyFont="1" applyFill="1" applyBorder="1" applyAlignment="1">
      <alignment/>
    </xf>
    <xf numFmtId="8" fontId="0" fillId="0" borderId="14" xfId="0" applyNumberFormat="1" applyFont="1" applyFill="1" applyBorder="1" applyAlignment="1">
      <alignment/>
    </xf>
    <xf numFmtId="8" fontId="0" fillId="0" borderId="13" xfId="0" applyNumberFormat="1" applyFont="1" applyFill="1" applyBorder="1" applyAlignment="1" applyProtection="1">
      <alignment/>
      <protection/>
    </xf>
    <xf numFmtId="8" fontId="0" fillId="0" borderId="10" xfId="0" applyNumberFormat="1" applyFont="1" applyFill="1" applyBorder="1" applyAlignment="1">
      <alignment/>
    </xf>
    <xf numFmtId="8" fontId="0" fillId="0" borderId="12" xfId="0" applyNumberFormat="1" applyFont="1" applyFill="1" applyBorder="1" applyAlignment="1">
      <alignment/>
    </xf>
    <xf numFmtId="202" fontId="0" fillId="0" borderId="13" xfId="0" applyNumberFormat="1" applyFont="1" applyFill="1" applyBorder="1" applyAlignment="1">
      <alignment/>
    </xf>
    <xf numFmtId="194" fontId="0" fillId="24" borderId="13" xfId="0" applyNumberFormat="1" applyFont="1" applyFill="1" applyBorder="1" applyAlignment="1">
      <alignment/>
    </xf>
    <xf numFmtId="194" fontId="0" fillId="24" borderId="17" xfId="0" applyNumberFormat="1" applyFont="1" applyFill="1" applyBorder="1" applyAlignment="1">
      <alignment/>
    </xf>
    <xf numFmtId="194" fontId="0" fillId="24" borderId="18" xfId="0" applyNumberFormat="1" applyFont="1" applyFill="1" applyBorder="1" applyAlignment="1">
      <alignment/>
    </xf>
    <xf numFmtId="194" fontId="0" fillId="24" borderId="28" xfId="0" applyNumberFormat="1" applyFont="1" applyFill="1" applyBorder="1" applyAlignment="1">
      <alignment/>
    </xf>
    <xf numFmtId="193" fontId="0" fillId="0" borderId="13" xfId="0" applyNumberFormat="1" applyFont="1" applyFill="1" applyBorder="1" applyAlignment="1">
      <alignment/>
    </xf>
    <xf numFmtId="8" fontId="0" fillId="0" borderId="14" xfId="47" applyNumberFormat="1" applyFont="1" applyFill="1" applyBorder="1" applyAlignment="1">
      <alignment/>
    </xf>
    <xf numFmtId="8" fontId="0" fillId="24" borderId="37" xfId="0" applyNumberFormat="1" applyFont="1" applyFill="1" applyBorder="1" applyAlignment="1">
      <alignment/>
    </xf>
    <xf numFmtId="8" fontId="0" fillId="24" borderId="38" xfId="47" applyNumberFormat="1" applyFont="1" applyFill="1" applyBorder="1" applyAlignment="1">
      <alignment/>
    </xf>
    <xf numFmtId="8" fontId="0" fillId="0" borderId="37" xfId="0" applyNumberFormat="1" applyFont="1" applyFill="1" applyBorder="1" applyAlignment="1">
      <alignment/>
    </xf>
    <xf numFmtId="8" fontId="0" fillId="0" borderId="38" xfId="0" applyNumberFormat="1" applyFont="1" applyFill="1" applyBorder="1" applyAlignment="1">
      <alignment/>
    </xf>
    <xf numFmtId="8" fontId="0" fillId="4" borderId="15" xfId="0" applyNumberFormat="1" applyFont="1" applyFill="1" applyBorder="1" applyAlignment="1">
      <alignment/>
    </xf>
    <xf numFmtId="8" fontId="0" fillId="4" borderId="14" xfId="0" applyNumberFormat="1" applyFont="1" applyFill="1" applyBorder="1" applyAlignment="1">
      <alignment/>
    </xf>
    <xf numFmtId="194" fontId="0" fillId="4" borderId="13" xfId="0" applyNumberFormat="1" applyFont="1" applyFill="1" applyBorder="1" applyAlignment="1">
      <alignment/>
    </xf>
    <xf numFmtId="194" fontId="0" fillId="4" borderId="17" xfId="0" applyNumberFormat="1" applyFont="1" applyFill="1" applyBorder="1" applyAlignment="1">
      <alignment/>
    </xf>
    <xf numFmtId="194" fontId="0" fillId="4" borderId="18" xfId="0" applyNumberFormat="1" applyFont="1" applyFill="1" applyBorder="1" applyAlignment="1">
      <alignment/>
    </xf>
    <xf numFmtId="194" fontId="0" fillId="4" borderId="28" xfId="0" applyNumberFormat="1" applyFont="1" applyFill="1" applyBorder="1" applyAlignment="1">
      <alignment/>
    </xf>
    <xf numFmtId="8" fontId="0" fillId="4" borderId="39" xfId="0" applyNumberFormat="1" applyFont="1" applyFill="1" applyBorder="1" applyAlignment="1">
      <alignment/>
    </xf>
    <xf numFmtId="8" fontId="0" fillId="4" borderId="40" xfId="47" applyNumberFormat="1" applyFont="1" applyFill="1" applyBorder="1" applyAlignment="1">
      <alignment/>
    </xf>
    <xf numFmtId="0" fontId="0" fillId="24" borderId="39" xfId="0" applyFont="1" applyFill="1" applyBorder="1" applyAlignment="1">
      <alignment horizontal="right"/>
    </xf>
    <xf numFmtId="0" fontId="0" fillId="24" borderId="40" xfId="0" applyFont="1" applyFill="1" applyBorder="1" applyAlignment="1">
      <alignment horizontal="right"/>
    </xf>
    <xf numFmtId="8" fontId="0" fillId="0" borderId="41" xfId="0" applyNumberFormat="1" applyFont="1" applyFill="1" applyBorder="1" applyAlignment="1">
      <alignment/>
    </xf>
    <xf numFmtId="8" fontId="0" fillId="0" borderId="42" xfId="0" applyNumberFormat="1" applyFont="1" applyFill="1" applyBorder="1" applyAlignment="1">
      <alignment/>
    </xf>
    <xf numFmtId="0" fontId="27" fillId="24" borderId="12" xfId="0" applyFont="1" applyFill="1" applyBorder="1" applyAlignment="1">
      <alignment horizontal="center"/>
    </xf>
    <xf numFmtId="8" fontId="0" fillId="4" borderId="13" xfId="0" applyNumberFormat="1" applyFont="1" applyFill="1" applyBorder="1" applyAlignment="1">
      <alignment/>
    </xf>
    <xf numFmtId="0" fontId="0" fillId="24" borderId="43" xfId="0" applyFont="1" applyFill="1" applyBorder="1" applyAlignment="1">
      <alignment horizontal="right"/>
    </xf>
    <xf numFmtId="8" fontId="0" fillId="0" borderId="15" xfId="0" applyNumberFormat="1" applyFont="1" applyFill="1" applyBorder="1" applyAlignment="1">
      <alignment/>
    </xf>
    <xf numFmtId="8" fontId="0" fillId="0" borderId="17" xfId="0" applyNumberFormat="1" applyFont="1" applyFill="1" applyBorder="1" applyAlignment="1">
      <alignment/>
    </xf>
    <xf numFmtId="8" fontId="0" fillId="0" borderId="19" xfId="0" applyNumberFormat="1" applyFont="1" applyFill="1" applyBorder="1" applyAlignment="1" applyProtection="1">
      <alignment/>
      <protection/>
    </xf>
    <xf numFmtId="8" fontId="0" fillId="0" borderId="0" xfId="0" applyNumberFormat="1" applyFont="1" applyFill="1" applyBorder="1" applyAlignment="1">
      <alignment/>
    </xf>
    <xf numFmtId="8" fontId="0" fillId="0" borderId="16" xfId="0" applyNumberFormat="1" applyFont="1" applyFill="1" applyBorder="1" applyAlignment="1">
      <alignment/>
    </xf>
    <xf numFmtId="8" fontId="0" fillId="0" borderId="11" xfId="0" applyNumberFormat="1" applyFont="1" applyFill="1" applyBorder="1" applyAlignment="1">
      <alignment/>
    </xf>
    <xf numFmtId="194" fontId="0" fillId="24" borderId="20" xfId="0" applyNumberFormat="1" applyFont="1" applyFill="1" applyBorder="1" applyAlignment="1">
      <alignment/>
    </xf>
    <xf numFmtId="8" fontId="0" fillId="0" borderId="0" xfId="47" applyNumberFormat="1" applyFont="1" applyFill="1" applyBorder="1" applyAlignment="1">
      <alignment/>
    </xf>
    <xf numFmtId="8" fontId="0" fillId="0" borderId="44" xfId="0" applyNumberFormat="1" applyFont="1" applyFill="1" applyBorder="1" applyAlignment="1">
      <alignment/>
    </xf>
    <xf numFmtId="8" fontId="0" fillId="0" borderId="45" xfId="0" applyNumberFormat="1" applyFont="1" applyFill="1" applyBorder="1" applyAlignment="1">
      <alignment/>
    </xf>
    <xf numFmtId="8" fontId="0" fillId="4" borderId="0" xfId="0" applyNumberFormat="1" applyFont="1" applyFill="1" applyBorder="1" applyAlignment="1">
      <alignment/>
    </xf>
    <xf numFmtId="194" fontId="0" fillId="4" borderId="0" xfId="0" applyNumberFormat="1" applyFont="1" applyFill="1" applyBorder="1" applyAlignment="1">
      <alignment/>
    </xf>
    <xf numFmtId="194" fontId="0" fillId="4" borderId="20" xfId="0" applyNumberFormat="1" applyFont="1" applyFill="1" applyBorder="1" applyAlignment="1">
      <alignment/>
    </xf>
    <xf numFmtId="194" fontId="0" fillId="24" borderId="16" xfId="0" applyNumberFormat="1" applyFont="1" applyFill="1" applyBorder="1" applyAlignment="1">
      <alignment/>
    </xf>
    <xf numFmtId="8" fontId="0" fillId="0" borderId="46" xfId="0" applyNumberFormat="1" applyFont="1" applyFill="1" applyBorder="1" applyAlignment="1">
      <alignment/>
    </xf>
    <xf numFmtId="8" fontId="0" fillId="0" borderId="30" xfId="0" applyNumberFormat="1" applyFont="1" applyFill="1" applyBorder="1" applyAlignment="1">
      <alignment/>
    </xf>
    <xf numFmtId="8" fontId="0" fillId="0" borderId="29" xfId="0" applyNumberFormat="1" applyFont="1" applyFill="1" applyBorder="1" applyAlignment="1">
      <alignment/>
    </xf>
    <xf numFmtId="194" fontId="0" fillId="24" borderId="46" xfId="0" applyNumberFormat="1" applyFont="1" applyFill="1" applyBorder="1" applyAlignment="1">
      <alignment/>
    </xf>
    <xf numFmtId="0" fontId="0" fillId="24" borderId="47" xfId="0" applyFont="1" applyFill="1" applyBorder="1" applyAlignment="1">
      <alignment horizontal="right"/>
    </xf>
    <xf numFmtId="8" fontId="0" fillId="4" borderId="21" xfId="0" applyNumberFormat="1" applyFont="1" applyFill="1" applyBorder="1" applyAlignment="1">
      <alignment horizontal="center"/>
    </xf>
    <xf numFmtId="8" fontId="0" fillId="24" borderId="21" xfId="0" applyNumberFormat="1" applyFont="1" applyFill="1" applyBorder="1" applyAlignment="1">
      <alignment horizontal="center"/>
    </xf>
    <xf numFmtId="195" fontId="0" fillId="0" borderId="0" xfId="0" applyNumberFormat="1" applyFont="1" applyFill="1" applyBorder="1" applyAlignment="1" applyProtection="1">
      <alignment horizontal="center"/>
      <protection/>
    </xf>
    <xf numFmtId="8" fontId="0" fillId="24" borderId="19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/>
    </xf>
    <xf numFmtId="8" fontId="0" fillId="24" borderId="49" xfId="0" applyNumberFormat="1" applyFont="1" applyFill="1" applyBorder="1" applyAlignment="1">
      <alignment/>
    </xf>
    <xf numFmtId="8" fontId="0" fillId="24" borderId="44" xfId="0" applyNumberFormat="1" applyFont="1" applyFill="1" applyBorder="1" applyAlignment="1">
      <alignment/>
    </xf>
    <xf numFmtId="8" fontId="0" fillId="24" borderId="50" xfId="0" applyNumberFormat="1" applyFont="1" applyFill="1" applyBorder="1" applyAlignment="1">
      <alignment/>
    </xf>
    <xf numFmtId="8" fontId="0" fillId="24" borderId="38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8" fontId="0" fillId="24" borderId="51" xfId="0" applyNumberFormat="1" applyFont="1" applyFill="1" applyBorder="1" applyAlignment="1">
      <alignment horizontal="center"/>
    </xf>
    <xf numFmtId="0" fontId="0" fillId="4" borderId="39" xfId="0" applyFont="1" applyFill="1" applyBorder="1" applyAlignment="1">
      <alignment horizontal="center"/>
    </xf>
    <xf numFmtId="0" fontId="0" fillId="4" borderId="40" xfId="0" applyFont="1" applyFill="1" applyBorder="1" applyAlignment="1">
      <alignment horizontal="center"/>
    </xf>
    <xf numFmtId="0" fontId="0" fillId="4" borderId="43" xfId="0" applyFont="1" applyFill="1" applyBorder="1" applyAlignment="1">
      <alignment horizontal="center"/>
    </xf>
    <xf numFmtId="49" fontId="25" fillId="0" borderId="0" xfId="0" applyNumberFormat="1" applyFont="1" applyFill="1" applyBorder="1" applyAlignment="1" applyProtection="1">
      <alignment horizontal="center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8" fontId="0" fillId="24" borderId="13" xfId="0" applyNumberFormat="1" applyFont="1" applyFill="1" applyBorder="1" applyAlignment="1">
      <alignment/>
    </xf>
    <xf numFmtId="193" fontId="0" fillId="24" borderId="0" xfId="47" applyNumberFormat="1" applyFont="1" applyFill="1" applyBorder="1" applyAlignment="1">
      <alignment/>
    </xf>
    <xf numFmtId="193" fontId="0" fillId="4" borderId="0" xfId="47" applyNumberFormat="1" applyFont="1" applyFill="1" applyBorder="1" applyAlignment="1">
      <alignment/>
    </xf>
    <xf numFmtId="8" fontId="0" fillId="0" borderId="0" xfId="0" applyNumberFormat="1" applyFont="1" applyFill="1" applyBorder="1" applyAlignment="1" applyProtection="1">
      <alignment horizontal="right"/>
      <protection/>
    </xf>
    <xf numFmtId="8" fontId="0" fillId="4" borderId="0" xfId="0" applyNumberFormat="1" applyFont="1" applyFill="1" applyBorder="1" applyAlignment="1" applyProtection="1">
      <alignment horizontal="right"/>
      <protection/>
    </xf>
    <xf numFmtId="49" fontId="0" fillId="24" borderId="13" xfId="0" applyNumberFormat="1" applyFont="1" applyFill="1" applyBorder="1" applyAlignment="1">
      <alignment/>
    </xf>
    <xf numFmtId="8" fontId="0" fillId="24" borderId="0" xfId="0" applyNumberFormat="1" applyFont="1" applyFill="1" applyBorder="1" applyAlignment="1">
      <alignment horizontal="center"/>
    </xf>
    <xf numFmtId="0" fontId="0" fillId="4" borderId="14" xfId="0" applyFont="1" applyFill="1" applyBorder="1" applyAlignment="1">
      <alignment/>
    </xf>
    <xf numFmtId="8" fontId="0" fillId="0" borderId="11" xfId="0" applyNumberFormat="1" applyFont="1" applyFill="1" applyBorder="1" applyAlignment="1">
      <alignment horizontal="right"/>
    </xf>
    <xf numFmtId="195" fontId="0" fillId="0" borderId="11" xfId="0" applyNumberFormat="1" applyFont="1" applyFill="1" applyBorder="1" applyAlignment="1" applyProtection="1">
      <alignment horizontal="center"/>
      <protection/>
    </xf>
    <xf numFmtId="8" fontId="0" fillId="24" borderId="11" xfId="0" applyNumberFormat="1" applyFont="1" applyFill="1" applyBorder="1" applyAlignment="1">
      <alignment horizontal="right"/>
    </xf>
    <xf numFmtId="8" fontId="0" fillId="4" borderId="11" xfId="0" applyNumberFormat="1" applyFont="1" applyFill="1" applyBorder="1" applyAlignment="1">
      <alignment horizontal="right"/>
    </xf>
    <xf numFmtId="8" fontId="0" fillId="4" borderId="16" xfId="0" applyNumberFormat="1" applyFont="1" applyFill="1" applyBorder="1" applyAlignment="1" applyProtection="1">
      <alignment horizontal="right"/>
      <protection/>
    </xf>
    <xf numFmtId="8" fontId="0" fillId="0" borderId="20" xfId="0" applyNumberFormat="1" applyFont="1" applyFill="1" applyBorder="1" applyAlignment="1" applyProtection="1">
      <alignment horizontal="right"/>
      <protection/>
    </xf>
    <xf numFmtId="202" fontId="0" fillId="0" borderId="20" xfId="0" applyNumberFormat="1" applyFont="1" applyFill="1" applyBorder="1" applyAlignment="1" applyProtection="1">
      <alignment horizontal="right"/>
      <protection/>
    </xf>
    <xf numFmtId="9" fontId="0" fillId="0" borderId="28" xfId="0" applyNumberFormat="1" applyFont="1" applyFill="1" applyBorder="1" applyAlignment="1" applyProtection="1">
      <alignment horizontal="center"/>
      <protection/>
    </xf>
    <xf numFmtId="202" fontId="0" fillId="24" borderId="20" xfId="0" applyNumberFormat="1" applyFont="1" applyFill="1" applyBorder="1" applyAlignment="1" applyProtection="1">
      <alignment horizontal="right"/>
      <protection/>
    </xf>
    <xf numFmtId="201" fontId="0" fillId="0" borderId="11" xfId="0" applyNumberFormat="1" applyFont="1" applyFill="1" applyBorder="1" applyAlignment="1" applyProtection="1">
      <alignment horizontal="right"/>
      <protection/>
    </xf>
    <xf numFmtId="201" fontId="0" fillId="0" borderId="0" xfId="0" applyNumberFormat="1" applyFont="1" applyFill="1" applyBorder="1" applyAlignment="1" applyProtection="1">
      <alignment horizontal="right"/>
      <protection/>
    </xf>
    <xf numFmtId="172" fontId="0" fillId="0" borderId="16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49" fontId="24" fillId="0" borderId="0" xfId="0" applyNumberFormat="1" applyFont="1" applyFill="1" applyBorder="1" applyAlignment="1">
      <alignment horizontal="left"/>
    </xf>
    <xf numFmtId="0" fontId="24" fillId="0" borderId="0" xfId="0" applyFont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76200</xdr:rowOff>
    </xdr:from>
    <xdr:to>
      <xdr:col>7</xdr:col>
      <xdr:colOff>904875</xdr:colOff>
      <xdr:row>2</xdr:row>
      <xdr:rowOff>85725</xdr:rowOff>
    </xdr:to>
    <xdr:pic>
      <xdr:nvPicPr>
        <xdr:cNvPr id="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76200"/>
          <a:ext cx="809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41</xdr:row>
      <xdr:rowOff>28575</xdr:rowOff>
    </xdr:from>
    <xdr:to>
      <xdr:col>7</xdr:col>
      <xdr:colOff>885825</xdr:colOff>
      <xdr:row>43</xdr:row>
      <xdr:rowOff>38100</xdr:rowOff>
    </xdr:to>
    <xdr:pic>
      <xdr:nvPicPr>
        <xdr:cNvPr id="2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6743700"/>
          <a:ext cx="809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84</xdr:row>
      <xdr:rowOff>28575</xdr:rowOff>
    </xdr:from>
    <xdr:to>
      <xdr:col>7</xdr:col>
      <xdr:colOff>904875</xdr:colOff>
      <xdr:row>86</xdr:row>
      <xdr:rowOff>38100</xdr:rowOff>
    </xdr:to>
    <xdr:pic>
      <xdr:nvPicPr>
        <xdr:cNvPr id="3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13801725"/>
          <a:ext cx="809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6"/>
  <sheetViews>
    <sheetView showGridLines="0" tabSelected="1" zoomScale="120" zoomScaleNormal="120" zoomScaleSheetLayoutView="120" zoomScalePageLayoutView="0" workbookViewId="0" topLeftCell="A1">
      <selection activeCell="C10" sqref="C10"/>
    </sheetView>
  </sheetViews>
  <sheetFormatPr defaultColWidth="11.421875" defaultRowHeight="12.75"/>
  <cols>
    <col min="1" max="1" width="5.00390625" style="2" customWidth="1"/>
    <col min="2" max="2" width="49.57421875" style="1" customWidth="1"/>
    <col min="3" max="3" width="12.140625" style="3" bestFit="1" customWidth="1"/>
    <col min="4" max="4" width="13.140625" style="2" bestFit="1" customWidth="1"/>
    <col min="5" max="5" width="8.28125" style="2" customWidth="1"/>
    <col min="6" max="6" width="14.421875" style="2" bestFit="1" customWidth="1"/>
    <col min="7" max="7" width="13.57421875" style="2" customWidth="1"/>
    <col min="8" max="8" width="14.28125" style="2" customWidth="1"/>
    <col min="9" max="9" width="11.421875" style="2" customWidth="1"/>
    <col min="10" max="10" width="7.57421875" style="2" bestFit="1" customWidth="1"/>
    <col min="11" max="16384" width="11.421875" style="2" customWidth="1"/>
  </cols>
  <sheetData>
    <row r="1" spans="7:8" ht="12.75">
      <c r="G1" s="13"/>
      <c r="H1" s="33"/>
    </row>
    <row r="2" spans="2:8" ht="12.75">
      <c r="B2" s="1" t="s">
        <v>19</v>
      </c>
      <c r="G2" s="13"/>
      <c r="H2" s="13"/>
    </row>
    <row r="3" spans="2:8" ht="12.75">
      <c r="B3" s="1" t="s">
        <v>19</v>
      </c>
      <c r="D3" s="2" t="s">
        <v>19</v>
      </c>
      <c r="G3" s="13"/>
      <c r="H3" s="13"/>
    </row>
    <row r="4" spans="2:8" s="6" customFormat="1" ht="18">
      <c r="B4" s="203" t="s">
        <v>69</v>
      </c>
      <c r="C4" s="203"/>
      <c r="D4" s="203"/>
      <c r="E4" s="203"/>
      <c r="F4" s="203"/>
      <c r="G4" s="203"/>
      <c r="H4" s="204"/>
    </row>
    <row r="5" spans="2:6" ht="12.75">
      <c r="B5" s="1" t="s">
        <v>26</v>
      </c>
      <c r="C5" s="1"/>
      <c r="F5" s="1"/>
    </row>
    <row r="6" spans="2:6" ht="12.75">
      <c r="B6" s="14" t="s">
        <v>68</v>
      </c>
      <c r="C6" s="14"/>
      <c r="D6" s="1"/>
      <c r="E6" s="1"/>
      <c r="F6" s="1" t="s">
        <v>27</v>
      </c>
    </row>
    <row r="7" spans="2:3" ht="12.75">
      <c r="B7" s="2"/>
      <c r="C7" s="2"/>
    </row>
    <row r="8" spans="1:35" s="7" customFormat="1" ht="12.75">
      <c r="A8" s="2"/>
      <c r="B8" s="84" t="s">
        <v>11</v>
      </c>
      <c r="C8" s="16" t="s">
        <v>9</v>
      </c>
      <c r="D8" s="17" t="s">
        <v>70</v>
      </c>
      <c r="E8" s="17"/>
      <c r="F8" s="17" t="s">
        <v>70</v>
      </c>
      <c r="G8" s="16" t="s">
        <v>9</v>
      </c>
      <c r="H8" s="18" t="s">
        <v>29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2:8" ht="12.75">
      <c r="B9" s="107" t="s">
        <v>91</v>
      </c>
      <c r="C9" s="69" t="s">
        <v>4</v>
      </c>
      <c r="D9" s="30" t="s">
        <v>115</v>
      </c>
      <c r="E9" s="30"/>
      <c r="F9" s="69" t="s">
        <v>116</v>
      </c>
      <c r="G9" s="69" t="s">
        <v>7</v>
      </c>
      <c r="H9" s="70" t="s">
        <v>10</v>
      </c>
    </row>
    <row r="10" spans="2:8" ht="12.75">
      <c r="B10" s="19" t="s">
        <v>92</v>
      </c>
      <c r="C10" s="32">
        <v>1500</v>
      </c>
      <c r="D10" s="87">
        <f>$G$38</f>
        <v>0.10149999999999999</v>
      </c>
      <c r="E10" s="87"/>
      <c r="F10" s="83">
        <f>IF((C10&gt;100000),0,IF((C10*(-D10))&gt;0,0,(C10*(-D10))))</f>
        <v>-152.25</v>
      </c>
      <c r="G10" s="8">
        <f>IF($C10&gt;100000,0,IF(($C10&lt;0),0,$C10+$F10))</f>
        <v>1347.75</v>
      </c>
      <c r="H10" s="20" t="s">
        <v>8</v>
      </c>
    </row>
    <row r="11" spans="2:8" ht="12.75">
      <c r="B11" s="19" t="s">
        <v>93</v>
      </c>
      <c r="C11" s="32">
        <v>0</v>
      </c>
      <c r="D11" s="87">
        <f>$G$39</f>
        <v>0.1745</v>
      </c>
      <c r="E11" s="87"/>
      <c r="F11" s="83">
        <f>IF(($C$11&gt;100000),0,IF($C$11*(-$D$11)&gt;0,0,IF(($C$10+$C$11)&gt;$H$39,(($H$39-$C$10)*(-$D$11)),(MIN($C$11,$H$39)*(-$D$11)))))</f>
        <v>0</v>
      </c>
      <c r="G11" s="8">
        <f>IF($C11&gt;100000,0,IF(($C11&lt;0),0,$C11+$F11))</f>
        <v>0</v>
      </c>
      <c r="H11" s="180">
        <v>0.6</v>
      </c>
    </row>
    <row r="12" spans="2:8" ht="12.75">
      <c r="B12" s="104" t="s">
        <v>94</v>
      </c>
      <c r="C12" s="194">
        <f>SUM(C10:C11)</f>
        <v>1500</v>
      </c>
      <c r="D12" s="106"/>
      <c r="E12" s="106"/>
      <c r="F12" s="195">
        <f>SUM(F10:F11)</f>
        <v>-152.25</v>
      </c>
      <c r="G12" s="194">
        <f>SUM(G10:G11)</f>
        <v>1347.75</v>
      </c>
      <c r="H12" s="196"/>
    </row>
    <row r="13" spans="2:8" ht="12.75">
      <c r="B13" s="19" t="s">
        <v>95</v>
      </c>
      <c r="C13" s="32">
        <v>1000</v>
      </c>
      <c r="D13" s="87">
        <f>$G$38</f>
        <v>0.10149999999999999</v>
      </c>
      <c r="E13" s="87"/>
      <c r="F13" s="83">
        <f>IF((C13&gt;100000),0,IF((C13*(-D13))&gt;0,0,(C13*(-D13))))</f>
        <v>-101.5</v>
      </c>
      <c r="G13" s="8">
        <f>IF($C13&gt;100000,0,IF(($C13&lt;0),0,$C13+$F13))</f>
        <v>898.5</v>
      </c>
      <c r="H13" s="20" t="s">
        <v>8</v>
      </c>
    </row>
    <row r="14" spans="2:8" ht="12.75">
      <c r="B14" s="19" t="s">
        <v>96</v>
      </c>
      <c r="C14" s="32">
        <v>0</v>
      </c>
      <c r="D14" s="87">
        <f>$G$39</f>
        <v>0.1745</v>
      </c>
      <c r="E14" s="87"/>
      <c r="F14" s="83">
        <f>IF((C14&gt;100000),0,IF(C14*(-D14)&gt;0,0,IF((C10+C14)&gt;H$39,((H$39-C10)*(-D14)),(MIN(C14,$H$39)*(-D14)))))</f>
        <v>0</v>
      </c>
      <c r="G14" s="8">
        <f>IF($C14&gt;100000,0,IF(($C14&lt;0),0,$C14+$F14))</f>
        <v>0</v>
      </c>
      <c r="H14" s="180">
        <v>0.6</v>
      </c>
    </row>
    <row r="15" spans="2:8" ht="12.75">
      <c r="B15" s="104" t="s">
        <v>97</v>
      </c>
      <c r="C15" s="194">
        <f>SUM(C13:C14)</f>
        <v>1000</v>
      </c>
      <c r="D15" s="106"/>
      <c r="E15" s="106"/>
      <c r="F15" s="195">
        <f>SUM(F13:F14)</f>
        <v>-101.5</v>
      </c>
      <c r="G15" s="194">
        <f>SUM(G13:G14)</f>
        <v>898.5</v>
      </c>
      <c r="H15" s="105"/>
    </row>
    <row r="16" spans="2:8" ht="12.75">
      <c r="B16" s="31" t="s">
        <v>98</v>
      </c>
      <c r="C16" s="34">
        <f>C12+C15</f>
        <v>2500</v>
      </c>
      <c r="D16" s="79"/>
      <c r="E16" s="79"/>
      <c r="F16" s="197">
        <f>F12+F15</f>
        <v>-253.75</v>
      </c>
      <c r="G16" s="34">
        <f>G12+G15</f>
        <v>2246.25</v>
      </c>
      <c r="H16" s="68"/>
    </row>
    <row r="17" spans="2:7" ht="12.75">
      <c r="B17" s="1" t="s">
        <v>19</v>
      </c>
      <c r="C17" s="8"/>
      <c r="D17" s="9"/>
      <c r="E17" s="9"/>
      <c r="F17" s="8"/>
      <c r="G17" s="9"/>
    </row>
    <row r="18" spans="1:35" s="7" customFormat="1" ht="12.75">
      <c r="A18" s="2"/>
      <c r="B18" s="84" t="s">
        <v>12</v>
      </c>
      <c r="C18" s="16" t="s">
        <v>3</v>
      </c>
      <c r="D18" s="17" t="s">
        <v>5</v>
      </c>
      <c r="E18" s="71" t="s">
        <v>5</v>
      </c>
      <c r="F18" s="17" t="s">
        <v>2</v>
      </c>
      <c r="G18" s="71" t="s">
        <v>2</v>
      </c>
      <c r="H18" s="74" t="s">
        <v>13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s="7" customFormat="1" ht="12.75">
      <c r="A19" s="2"/>
      <c r="B19" s="21" t="s">
        <v>41</v>
      </c>
      <c r="C19" s="22" t="s">
        <v>99</v>
      </c>
      <c r="D19" s="30" t="s">
        <v>119</v>
      </c>
      <c r="E19" s="72" t="s">
        <v>120</v>
      </c>
      <c r="F19" s="30" t="s">
        <v>100</v>
      </c>
      <c r="G19" s="72" t="s">
        <v>101</v>
      </c>
      <c r="H19" s="75" t="s">
        <v>79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2:8" ht="12.75">
      <c r="B20" s="48" t="s">
        <v>126</v>
      </c>
      <c r="C20" s="189">
        <f>C10</f>
        <v>1500</v>
      </c>
      <c r="D20" s="190">
        <v>0.14</v>
      </c>
      <c r="E20" s="190">
        <v>0.14</v>
      </c>
      <c r="F20" s="191">
        <f>IF($C20&lt;0,0,IF($C20&gt;100000,0,$C20*(1-$D20)))</f>
        <v>1290</v>
      </c>
      <c r="G20" s="192">
        <f>IF($C20&lt;0,0,IF($C20&gt;100000,0,$C20*(1-$E20)))</f>
        <v>1290</v>
      </c>
      <c r="H20" s="95" t="s">
        <v>0</v>
      </c>
    </row>
    <row r="21" spans="2:8" ht="12.75">
      <c r="B21" s="19" t="s">
        <v>126</v>
      </c>
      <c r="C21" s="8">
        <f>C13</f>
        <v>1000</v>
      </c>
      <c r="D21" s="167">
        <v>0.14</v>
      </c>
      <c r="E21" s="167">
        <v>0.14</v>
      </c>
      <c r="F21" s="67">
        <f>IF($C21&lt;0,0,IF($C21&gt;100000,0,$C21*(1-$D21)))</f>
        <v>860</v>
      </c>
      <c r="G21" s="73">
        <f>IF($C21&lt;0,0,IF($C21&gt;100000,0,$C21*(1-$E21)))</f>
        <v>860</v>
      </c>
      <c r="H21" s="23" t="s">
        <v>1</v>
      </c>
    </row>
    <row r="22" spans="2:8" ht="12.75">
      <c r="B22" s="19" t="s">
        <v>117</v>
      </c>
      <c r="C22" s="8">
        <f>C11</f>
        <v>0</v>
      </c>
      <c r="D22" s="37">
        <v>0</v>
      </c>
      <c r="E22" s="37">
        <v>0.212</v>
      </c>
      <c r="F22" s="8">
        <v>0</v>
      </c>
      <c r="G22" s="73">
        <f>C22*(1-E22)</f>
        <v>0</v>
      </c>
      <c r="H22" s="23" t="s">
        <v>80</v>
      </c>
    </row>
    <row r="23" spans="2:8" ht="12.75">
      <c r="B23" s="19" t="s">
        <v>118</v>
      </c>
      <c r="C23" s="8">
        <f>C14</f>
        <v>0</v>
      </c>
      <c r="D23" s="37">
        <v>0</v>
      </c>
      <c r="E23" s="37">
        <v>0.212</v>
      </c>
      <c r="F23" s="8">
        <v>0</v>
      </c>
      <c r="G23" s="73">
        <f>C23*(1-E23)</f>
        <v>0</v>
      </c>
      <c r="H23" s="23" t="s">
        <v>81</v>
      </c>
    </row>
    <row r="24" spans="2:8" ht="12.75">
      <c r="B24" s="19" t="s">
        <v>35</v>
      </c>
      <c r="C24" s="32">
        <v>0</v>
      </c>
      <c r="D24" s="37">
        <v>0.4</v>
      </c>
      <c r="E24" s="37">
        <v>0.4</v>
      </c>
      <c r="F24" s="67">
        <f>IF($C24&lt;0,0,IF($C24&gt;100000,0,$C24*(1-$D24)))</f>
        <v>0</v>
      </c>
      <c r="G24" s="73">
        <f>IF($C24&lt;0,0,IF($C24&gt;100000,0,$C24*(1-$E24)))</f>
        <v>0</v>
      </c>
      <c r="H24" s="23" t="s">
        <v>0</v>
      </c>
    </row>
    <row r="25" spans="2:8" ht="12.75">
      <c r="B25" s="19" t="s">
        <v>36</v>
      </c>
      <c r="C25" s="32">
        <v>0</v>
      </c>
      <c r="D25" s="37">
        <v>0.4</v>
      </c>
      <c r="E25" s="37">
        <v>0.4</v>
      </c>
      <c r="F25" s="67">
        <f>IF($C25&lt;0,0,IF($C25&gt;100000,0,$C25*(1-$D25)))</f>
        <v>0</v>
      </c>
      <c r="G25" s="73">
        <f>IF($C25&lt;0,0,IF($C25&gt;100000,0,$C25*(1-$E25)))</f>
        <v>0</v>
      </c>
      <c r="H25" s="23" t="s">
        <v>1</v>
      </c>
    </row>
    <row r="26" spans="2:8" ht="12.75">
      <c r="B26" s="19" t="s">
        <v>107</v>
      </c>
      <c r="C26" s="32">
        <v>0</v>
      </c>
      <c r="D26" s="37">
        <v>0</v>
      </c>
      <c r="E26" s="37">
        <v>0.25</v>
      </c>
      <c r="F26" s="8">
        <v>0</v>
      </c>
      <c r="G26" s="73">
        <f>IF($C26&lt;0,0,IF($C26&gt;100000,0,$C26*(1-$E26)))</f>
        <v>0</v>
      </c>
      <c r="H26" s="23" t="s">
        <v>82</v>
      </c>
    </row>
    <row r="27" spans="2:8" ht="12.75">
      <c r="B27" s="19" t="s">
        <v>108</v>
      </c>
      <c r="C27" s="32">
        <v>0</v>
      </c>
      <c r="D27" s="37">
        <v>0</v>
      </c>
      <c r="E27" s="37">
        <v>0.25</v>
      </c>
      <c r="F27" s="8">
        <v>0</v>
      </c>
      <c r="G27" s="73">
        <f>IF($C27&lt;0,0,IF($C27&gt;100000,0,$C27*(1-$E27)))</f>
        <v>0</v>
      </c>
      <c r="H27" s="23" t="s">
        <v>82</v>
      </c>
    </row>
    <row r="28" spans="2:8" ht="12.75">
      <c r="B28" s="19" t="s">
        <v>39</v>
      </c>
      <c r="C28" s="32">
        <v>0</v>
      </c>
      <c r="D28" s="36">
        <v>0</v>
      </c>
      <c r="E28" s="36">
        <v>0</v>
      </c>
      <c r="F28" s="184">
        <f>IF($C28&lt;0,0,IF($C28&gt;100000,0,IF(($D28&gt;100000),0,IF((D28&lt;0),0,$C28*(1-$D28)))))</f>
        <v>0</v>
      </c>
      <c r="G28" s="185">
        <f>IF($C28&lt;0,0,IF($C28&gt;100000,0,IF(($E28&gt;100000),0,IF((E28&lt;0),0,$C28*(1-$E28)))))</f>
        <v>0</v>
      </c>
      <c r="H28" s="23" t="s">
        <v>80</v>
      </c>
    </row>
    <row r="29" spans="2:8" ht="12.75">
      <c r="B29" s="25" t="s">
        <v>40</v>
      </c>
      <c r="C29" s="32">
        <v>0</v>
      </c>
      <c r="D29" s="36">
        <v>0</v>
      </c>
      <c r="E29" s="36">
        <v>0</v>
      </c>
      <c r="F29" s="47">
        <f>IF($C29&lt;0,0,IF($C29&gt;100000,0,IF(($D29&gt;100000),0,IF((D29&lt;0),0,$C29*(1-$D29)))))</f>
        <v>0</v>
      </c>
      <c r="G29" s="193">
        <f>IF($C29&lt;0,0,IF($C29&gt;100000,0,IF(($E29&gt;100000),0,IF((E29&lt;0),0,$C29*(1-$E29)))))</f>
        <v>0</v>
      </c>
      <c r="H29" s="28" t="s">
        <v>81</v>
      </c>
    </row>
    <row r="30" spans="1:35" s="7" customFormat="1" ht="12.75">
      <c r="A30" s="2"/>
      <c r="B30" s="186" t="s">
        <v>16</v>
      </c>
      <c r="C30" s="187">
        <f>SUM(C20:C29)</f>
        <v>2500</v>
      </c>
      <c r="D30" s="182" t="s">
        <v>6</v>
      </c>
      <c r="E30" s="182"/>
      <c r="F30" s="182">
        <f>F20+F22+F24+F26+F27+F28</f>
        <v>1290</v>
      </c>
      <c r="G30" s="183">
        <f>G20+G22+G24+G26+G27+G28</f>
        <v>1290</v>
      </c>
      <c r="H30" s="188" t="s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s="7" customFormat="1" ht="12.75">
      <c r="A31" s="2"/>
      <c r="B31" s="21" t="s">
        <v>18</v>
      </c>
      <c r="C31" s="22"/>
      <c r="D31" s="24"/>
      <c r="E31" s="24"/>
      <c r="F31" s="24">
        <f>F21+F23+F25+F26+F27+F29</f>
        <v>860</v>
      </c>
      <c r="G31" s="76">
        <f>G21+G23+G25+G26+G27+G29</f>
        <v>860</v>
      </c>
      <c r="H31" s="75" t="s">
        <v>1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3:7" ht="12.75">
      <c r="C32" s="9"/>
      <c r="D32" s="10"/>
      <c r="E32" s="10"/>
      <c r="F32" s="10"/>
      <c r="G32" s="10"/>
    </row>
    <row r="33" spans="2:11" ht="15">
      <c r="B33" s="42" t="s">
        <v>45</v>
      </c>
      <c r="C33" s="43">
        <f>IF(D33&lt;=0,2.2%,1.95%)</f>
        <v>0.0195</v>
      </c>
      <c r="D33" s="66">
        <v>3</v>
      </c>
      <c r="E33" s="198"/>
      <c r="F33" s="44" t="s">
        <v>78</v>
      </c>
      <c r="G33" s="45"/>
      <c r="H33" s="86"/>
      <c r="I33" s="38"/>
      <c r="J33" s="52"/>
      <c r="K33" s="53"/>
    </row>
    <row r="34" spans="2:11" ht="12.75">
      <c r="B34" s="35" t="s">
        <v>47</v>
      </c>
      <c r="C34" s="39">
        <f>IF(D34=0,637.03,718.08)</f>
        <v>718.08</v>
      </c>
      <c r="D34" s="66">
        <v>1</v>
      </c>
      <c r="E34" s="199"/>
      <c r="F34" s="40" t="s">
        <v>130</v>
      </c>
      <c r="G34" s="38"/>
      <c r="H34" s="85"/>
      <c r="I34" s="38"/>
      <c r="J34" s="54"/>
      <c r="K34" s="55"/>
    </row>
    <row r="35" spans="2:8" ht="12.75">
      <c r="B35" s="25" t="s">
        <v>83</v>
      </c>
      <c r="C35" s="46">
        <f>IF(D33&lt;=0,0,IF((D33&gt;100000),0,D33+1))</f>
        <v>4</v>
      </c>
      <c r="D35" s="26" t="s">
        <v>133</v>
      </c>
      <c r="E35" s="200" t="s">
        <v>132</v>
      </c>
      <c r="F35" s="47">
        <f>IF(D34=0,24.13,27.2)</f>
        <v>27.2</v>
      </c>
      <c r="G35" s="27">
        <f>IF(C35=0,0,((C35)*F35))</f>
        <v>108.8</v>
      </c>
      <c r="H35" s="28" t="s">
        <v>81</v>
      </c>
    </row>
    <row r="36" spans="3:7" ht="12.75">
      <c r="C36" s="5"/>
      <c r="D36" s="5"/>
      <c r="E36" s="5"/>
      <c r="F36" s="5"/>
      <c r="G36" s="5"/>
    </row>
    <row r="37" spans="2:8" ht="12.75">
      <c r="B37" s="84" t="s">
        <v>121</v>
      </c>
      <c r="C37" s="17" t="s">
        <v>42</v>
      </c>
      <c r="D37" s="17" t="s">
        <v>43</v>
      </c>
      <c r="E37" s="17"/>
      <c r="F37" s="17" t="s">
        <v>44</v>
      </c>
      <c r="G37" s="143" t="s">
        <v>46</v>
      </c>
      <c r="H37" s="77" t="s">
        <v>72</v>
      </c>
    </row>
    <row r="38" spans="2:8" ht="12.75">
      <c r="B38" s="48" t="s">
        <v>20</v>
      </c>
      <c r="C38" s="50">
        <f>C$39*50%</f>
        <v>0.073</v>
      </c>
      <c r="D38" s="50">
        <f>D$39*100%</f>
        <v>0.009</v>
      </c>
      <c r="E38" s="50"/>
      <c r="F38" s="49">
        <f>$C$33</f>
        <v>0.0195</v>
      </c>
      <c r="G38" s="51">
        <f>SUM(C38:F38)</f>
        <v>0.10149999999999999</v>
      </c>
      <c r="H38" s="78" t="s">
        <v>102</v>
      </c>
    </row>
    <row r="39" spans="2:10" ht="12.75">
      <c r="B39" s="25" t="s">
        <v>25</v>
      </c>
      <c r="C39" s="29">
        <v>0.146</v>
      </c>
      <c r="D39" s="29">
        <v>0.009</v>
      </c>
      <c r="E39" s="29"/>
      <c r="F39" s="29">
        <f>$C$33</f>
        <v>0.0195</v>
      </c>
      <c r="G39" s="41">
        <f>SUM(C39:F39)</f>
        <v>0.1745</v>
      </c>
      <c r="H39" s="148">
        <v>3712.5</v>
      </c>
      <c r="I39" s="39"/>
      <c r="J39" s="87"/>
    </row>
    <row r="40" spans="3:8" ht="12.75">
      <c r="C40" s="87"/>
      <c r="D40" s="87"/>
      <c r="E40" s="87"/>
      <c r="F40" s="87"/>
      <c r="G40" s="9"/>
      <c r="H40" s="39"/>
    </row>
    <row r="41" spans="2:9" s="92" customFormat="1" ht="11.25">
      <c r="B41" s="88" t="s">
        <v>127</v>
      </c>
      <c r="C41" s="179"/>
      <c r="D41" s="179" t="s">
        <v>134</v>
      </c>
      <c r="E41" s="89"/>
      <c r="F41" s="89"/>
      <c r="G41" s="90"/>
      <c r="H41" s="103" t="s">
        <v>131</v>
      </c>
      <c r="I41" s="91"/>
    </row>
    <row r="42" ht="12.75"/>
    <row r="43" spans="3:7" ht="12.75">
      <c r="C43" s="11"/>
      <c r="D43" s="12"/>
      <c r="E43" s="12"/>
      <c r="F43" s="12"/>
      <c r="G43" s="12"/>
    </row>
    <row r="44" spans="2:8" s="93" customFormat="1" ht="14.25">
      <c r="B44" s="201" t="s">
        <v>69</v>
      </c>
      <c r="C44" s="201"/>
      <c r="D44" s="201"/>
      <c r="E44" s="201"/>
      <c r="F44" s="201"/>
      <c r="G44" s="201"/>
      <c r="H44" s="202"/>
    </row>
    <row r="45" spans="3:7" ht="13.5" thickBot="1">
      <c r="C45" s="11"/>
      <c r="D45" s="12"/>
      <c r="E45" s="12"/>
      <c r="F45" s="12"/>
      <c r="G45" s="12"/>
    </row>
    <row r="46" spans="2:8" s="4" customFormat="1" ht="13.5" thickBot="1">
      <c r="B46" s="109" t="s">
        <v>22</v>
      </c>
      <c r="C46" s="139" t="s">
        <v>103</v>
      </c>
      <c r="D46" s="145" t="s">
        <v>104</v>
      </c>
      <c r="E46" s="164" t="s">
        <v>125</v>
      </c>
      <c r="F46" s="139" t="s">
        <v>105</v>
      </c>
      <c r="G46" s="140" t="s">
        <v>106</v>
      </c>
      <c r="H46" s="56" t="s">
        <v>125</v>
      </c>
    </row>
    <row r="47" spans="2:8" ht="12.75">
      <c r="B47" s="169" t="s">
        <v>114</v>
      </c>
      <c r="C47" s="170">
        <f>$C$10</f>
        <v>1500</v>
      </c>
      <c r="D47" s="171">
        <f>$G$10</f>
        <v>1347.75</v>
      </c>
      <c r="E47" s="172"/>
      <c r="F47" s="170">
        <f>$C$13</f>
        <v>1000</v>
      </c>
      <c r="G47" s="173">
        <f>$G$13</f>
        <v>898.5</v>
      </c>
      <c r="H47" s="174"/>
    </row>
    <row r="48" spans="2:8" ht="12.75">
      <c r="B48" s="57" t="s">
        <v>124</v>
      </c>
      <c r="C48" s="115">
        <f>F$20</f>
        <v>1290</v>
      </c>
      <c r="D48" s="149"/>
      <c r="E48" s="160"/>
      <c r="F48" s="115">
        <f>F$21</f>
        <v>860</v>
      </c>
      <c r="G48" s="116"/>
      <c r="H48" s="58"/>
    </row>
    <row r="49" spans="2:8" ht="12.75">
      <c r="B49" s="57" t="s">
        <v>32</v>
      </c>
      <c r="C49" s="115">
        <f>F$30-C48</f>
        <v>0</v>
      </c>
      <c r="D49" s="149"/>
      <c r="E49" s="160"/>
      <c r="F49" s="115">
        <f>F$31-F48</f>
        <v>0</v>
      </c>
      <c r="G49" s="116"/>
      <c r="H49" s="58"/>
    </row>
    <row r="50" spans="2:8" ht="12.75">
      <c r="B50" s="57" t="s">
        <v>14</v>
      </c>
      <c r="C50" s="181">
        <f>C48+C49</f>
        <v>1290</v>
      </c>
      <c r="D50" s="149"/>
      <c r="E50" s="160"/>
      <c r="F50" s="181">
        <f>F48+F49</f>
        <v>860</v>
      </c>
      <c r="G50" s="116"/>
      <c r="H50" s="58"/>
    </row>
    <row r="51" spans="2:8" ht="12.75">
      <c r="B51" s="57" t="s">
        <v>76</v>
      </c>
      <c r="C51" s="117">
        <f>$C$34</f>
        <v>718.08</v>
      </c>
      <c r="D51" s="149"/>
      <c r="E51" s="160"/>
      <c r="F51" s="117">
        <f>$C$34</f>
        <v>718.08</v>
      </c>
      <c r="G51" s="116"/>
      <c r="H51" s="58"/>
    </row>
    <row r="52" spans="2:8" ht="12.75">
      <c r="B52" s="57" t="s">
        <v>84</v>
      </c>
      <c r="C52" s="115">
        <f>MAX((C50-C51),0)</f>
        <v>571.92</v>
      </c>
      <c r="D52" s="149"/>
      <c r="E52" s="160"/>
      <c r="F52" s="115">
        <f>MAX((F50-F51),0)</f>
        <v>141.91999999999996</v>
      </c>
      <c r="G52" s="116"/>
      <c r="H52" s="58"/>
    </row>
    <row r="53" spans="2:8" ht="12.75">
      <c r="B53" s="57" t="s">
        <v>85</v>
      </c>
      <c r="C53" s="146">
        <f>C52*0.4</f>
        <v>228.768</v>
      </c>
      <c r="D53" s="150"/>
      <c r="E53" s="161"/>
      <c r="F53" s="146">
        <f>F52*0.4</f>
        <v>56.76799999999999</v>
      </c>
      <c r="G53" s="147"/>
      <c r="H53" s="58"/>
    </row>
    <row r="54" spans="2:8" ht="12.75">
      <c r="B54" s="59" t="s">
        <v>31</v>
      </c>
      <c r="C54" s="118">
        <f>IF($C$13&gt;100000,0,IF($C$13&lt;0,0,$C$13*0.6))</f>
        <v>600</v>
      </c>
      <c r="D54" s="151"/>
      <c r="E54" s="162"/>
      <c r="F54" s="118">
        <f>IF($C$10&gt;100000,0,IF($C$10&lt;0,0,$C$10*0.6))</f>
        <v>900</v>
      </c>
      <c r="G54" s="119"/>
      <c r="H54" s="60"/>
    </row>
    <row r="55" spans="2:8" ht="12.75">
      <c r="B55" s="57" t="s">
        <v>112</v>
      </c>
      <c r="C55" s="120">
        <f>-MIN(C53,C54)</f>
        <v>-228.768</v>
      </c>
      <c r="D55" s="149"/>
      <c r="E55" s="160"/>
      <c r="F55" s="120">
        <f>-MIN(F53,F54)</f>
        <v>-56.76799999999999</v>
      </c>
      <c r="G55" s="116"/>
      <c r="H55" s="58"/>
    </row>
    <row r="56" spans="2:8" ht="12.75">
      <c r="B56" s="57" t="s">
        <v>109</v>
      </c>
      <c r="C56" s="121">
        <f>SUM(C54:C55)</f>
        <v>371.23199999999997</v>
      </c>
      <c r="D56" s="159">
        <f>SUM(C56*(1-$D$10))</f>
        <v>333.55195199999997</v>
      </c>
      <c r="E56" s="163"/>
      <c r="F56" s="121">
        <f>SUM(F54:F55)</f>
        <v>843.232</v>
      </c>
      <c r="G56" s="122">
        <f>SUM(F56*(1-$D$10))</f>
        <v>757.6439519999999</v>
      </c>
      <c r="H56" s="58"/>
    </row>
    <row r="57" spans="2:8" ht="12.75">
      <c r="B57" s="80" t="s">
        <v>110</v>
      </c>
      <c r="C57" s="123">
        <f>C47+C56</f>
        <v>1871.232</v>
      </c>
      <c r="D57" s="152">
        <f>SUM(D47:D56)</f>
        <v>1681.301952</v>
      </c>
      <c r="E57" s="168"/>
      <c r="F57" s="152">
        <f>F47+F56</f>
        <v>1843.232</v>
      </c>
      <c r="G57" s="124">
        <f>SUM(G47:G56)</f>
        <v>1656.143952</v>
      </c>
      <c r="H57" s="175"/>
    </row>
    <row r="58" spans="2:8" ht="12.75">
      <c r="B58" s="57" t="s">
        <v>74</v>
      </c>
      <c r="C58" s="125">
        <f>IF($C$11&gt;100000,0,IF($C$11&lt;0,0,$C$11))</f>
        <v>0</v>
      </c>
      <c r="D58" s="126">
        <f>$G$11</f>
        <v>0</v>
      </c>
      <c r="E58" s="153"/>
      <c r="F58" s="125">
        <f>IF($C$14&gt;100000,0,IF($C$14&lt;0,0,$C$14))</f>
        <v>0</v>
      </c>
      <c r="G58" s="126">
        <f>$G$14</f>
        <v>0</v>
      </c>
      <c r="H58" s="58"/>
    </row>
    <row r="59" spans="2:8" ht="13.5" thickBot="1">
      <c r="B59" s="57" t="s">
        <v>73</v>
      </c>
      <c r="C59" s="125">
        <f>IF((C$14*H$14)&gt;100000,0,IF((C$14*H$14)&lt;0,0,(C$14*H$14)))</f>
        <v>0</v>
      </c>
      <c r="D59" s="126">
        <f>IF(C59&lt;0,0,(C59*(1-D$14)))</f>
        <v>0</v>
      </c>
      <c r="E59" s="153"/>
      <c r="F59" s="125">
        <f>IF((C$11*H$11)&gt;100000,0,IF((C$11*H$11)&lt;0,0,(C$11*H$11)))</f>
        <v>0</v>
      </c>
      <c r="G59" s="126">
        <f>IF(F59&lt;0,0,(F59*(1-D$14)))</f>
        <v>0</v>
      </c>
      <c r="H59" s="58"/>
    </row>
    <row r="60" spans="2:8" ht="13.5" thickBot="1">
      <c r="B60" s="112" t="s">
        <v>89</v>
      </c>
      <c r="C60" s="127">
        <f>SUM(C47+C56+C58+C59)</f>
        <v>1871.232</v>
      </c>
      <c r="D60" s="128">
        <f>SUM(D57:D59)</f>
        <v>1681.301952</v>
      </c>
      <c r="E60" s="166">
        <f>C60-D60</f>
        <v>189.93004799999994</v>
      </c>
      <c r="F60" s="127">
        <f>SUM(F47+F56+F58+F59)</f>
        <v>1843.232</v>
      </c>
      <c r="G60" s="128">
        <f>SUM(G57:G59)</f>
        <v>1656.143952</v>
      </c>
      <c r="H60" s="166">
        <f>F60-G60</f>
        <v>187.08804800000007</v>
      </c>
    </row>
    <row r="61" spans="2:8" ht="12.75">
      <c r="B61" s="113" t="s">
        <v>111</v>
      </c>
      <c r="C61" s="129">
        <f>C47+C58</f>
        <v>1500</v>
      </c>
      <c r="D61" s="130">
        <f>D47+D58</f>
        <v>1347.75</v>
      </c>
      <c r="E61" s="154"/>
      <c r="F61" s="129">
        <f>F47+F58</f>
        <v>1000</v>
      </c>
      <c r="G61" s="130">
        <f>G47+G58</f>
        <v>898.5</v>
      </c>
      <c r="H61" s="114"/>
    </row>
    <row r="62" spans="2:8" ht="13.5" thickBot="1">
      <c r="B62" s="110" t="s">
        <v>90</v>
      </c>
      <c r="C62" s="141">
        <f>C56+C59</f>
        <v>371.23199999999997</v>
      </c>
      <c r="D62" s="142">
        <f>D56+D59</f>
        <v>333.55195199999997</v>
      </c>
      <c r="E62" s="155"/>
      <c r="F62" s="141">
        <f>F56+F59</f>
        <v>843.232</v>
      </c>
      <c r="G62" s="142">
        <f>G56+G59</f>
        <v>757.6439519999999</v>
      </c>
      <c r="H62" s="111"/>
    </row>
    <row r="63" spans="3:7" ht="13.5" thickBot="1">
      <c r="C63" s="5"/>
      <c r="D63" s="5"/>
      <c r="E63" s="5"/>
      <c r="F63" s="5"/>
      <c r="G63" s="5"/>
    </row>
    <row r="64" spans="2:8" s="4" customFormat="1" ht="13.5" thickBot="1">
      <c r="B64" s="108" t="s">
        <v>23</v>
      </c>
      <c r="C64" s="176" t="s">
        <v>103</v>
      </c>
      <c r="D64" s="177" t="s">
        <v>104</v>
      </c>
      <c r="E64" s="178" t="s">
        <v>125</v>
      </c>
      <c r="F64" s="176" t="s">
        <v>105</v>
      </c>
      <c r="G64" s="177" t="s">
        <v>106</v>
      </c>
      <c r="H64" s="65" t="s">
        <v>125</v>
      </c>
    </row>
    <row r="65" spans="2:8" ht="12.75">
      <c r="B65" s="61" t="s">
        <v>114</v>
      </c>
      <c r="C65" s="131">
        <f>$C$10</f>
        <v>1500</v>
      </c>
      <c r="D65" s="132">
        <f>$G$10</f>
        <v>1347.75</v>
      </c>
      <c r="E65" s="156"/>
      <c r="F65" s="131">
        <f>$C$13</f>
        <v>1000</v>
      </c>
      <c r="G65" s="132">
        <f>$G$13</f>
        <v>898.5</v>
      </c>
      <c r="H65" s="58"/>
    </row>
    <row r="66" spans="2:8" ht="12.75">
      <c r="B66" s="57" t="s">
        <v>124</v>
      </c>
      <c r="C66" s="115">
        <f>F$20</f>
        <v>1290</v>
      </c>
      <c r="D66" s="116"/>
      <c r="E66" s="149"/>
      <c r="F66" s="115">
        <f>F$21</f>
        <v>860</v>
      </c>
      <c r="G66" s="116"/>
      <c r="H66" s="58"/>
    </row>
    <row r="67" spans="2:8" ht="12.75">
      <c r="B67" s="57" t="s">
        <v>32</v>
      </c>
      <c r="C67" s="144">
        <f>G$30-C66</f>
        <v>0</v>
      </c>
      <c r="D67" s="116"/>
      <c r="E67" s="149"/>
      <c r="F67" s="144">
        <f>G$31-F66</f>
        <v>0</v>
      </c>
      <c r="G67" s="116"/>
      <c r="H67" s="58"/>
    </row>
    <row r="68" spans="2:8" ht="12.75">
      <c r="B68" s="57" t="s">
        <v>14</v>
      </c>
      <c r="C68" s="144">
        <f>C66+C67</f>
        <v>1290</v>
      </c>
      <c r="D68" s="116"/>
      <c r="E68" s="149"/>
      <c r="F68" s="144">
        <f>F66+F67</f>
        <v>860</v>
      </c>
      <c r="G68" s="116"/>
      <c r="H68" s="58"/>
    </row>
    <row r="69" spans="2:8" ht="12.75">
      <c r="B69" s="57" t="s">
        <v>76</v>
      </c>
      <c r="C69" s="117">
        <f>$C$34</f>
        <v>718.08</v>
      </c>
      <c r="D69" s="116"/>
      <c r="E69" s="149"/>
      <c r="F69" s="117">
        <f>$C$34</f>
        <v>718.08</v>
      </c>
      <c r="G69" s="116"/>
      <c r="H69" s="58"/>
    </row>
    <row r="70" spans="2:8" ht="12.75">
      <c r="B70" s="57" t="s">
        <v>86</v>
      </c>
      <c r="C70" s="115">
        <f>MAX((C68-C69),0)</f>
        <v>571.92</v>
      </c>
      <c r="D70" s="116"/>
      <c r="E70" s="149"/>
      <c r="F70" s="115">
        <f>MAX((F68-F69),0)</f>
        <v>141.91999999999996</v>
      </c>
      <c r="G70" s="116"/>
      <c r="H70" s="58"/>
    </row>
    <row r="71" spans="2:8" ht="12.75">
      <c r="B71" s="57" t="s">
        <v>85</v>
      </c>
      <c r="C71" s="146">
        <f>C70*0.4</f>
        <v>228.768</v>
      </c>
      <c r="D71" s="147"/>
      <c r="E71" s="150"/>
      <c r="F71" s="146">
        <f>F70*0.4</f>
        <v>56.76799999999999</v>
      </c>
      <c r="G71" s="147"/>
      <c r="H71" s="58"/>
    </row>
    <row r="72" spans="2:8" ht="12.75">
      <c r="B72" s="62" t="s">
        <v>30</v>
      </c>
      <c r="C72" s="118">
        <f>IF($C$13&gt;100000,0,IF($C$13&lt;0,0,$C$13*0.55))</f>
        <v>550</v>
      </c>
      <c r="D72" s="119"/>
      <c r="E72" s="151"/>
      <c r="F72" s="118">
        <f>IF($C$10&gt;100000,0,IF($C$10&lt;0,0,$C$10*0.55))</f>
        <v>825.0000000000001</v>
      </c>
      <c r="G72" s="119"/>
      <c r="H72" s="60"/>
    </row>
    <row r="73" spans="2:8" ht="12.75">
      <c r="B73" s="63" t="s">
        <v>113</v>
      </c>
      <c r="C73" s="115">
        <v>0</v>
      </c>
      <c r="D73" s="116"/>
      <c r="E73" s="149"/>
      <c r="F73" s="144">
        <f>G35</f>
        <v>108.8</v>
      </c>
      <c r="G73" s="116"/>
      <c r="H73" s="58" t="s">
        <v>81</v>
      </c>
    </row>
    <row r="74" spans="2:8" ht="12.75">
      <c r="B74" s="63" t="s">
        <v>33</v>
      </c>
      <c r="C74" s="115">
        <f>SUM(C72:C73)</f>
        <v>550</v>
      </c>
      <c r="D74" s="116"/>
      <c r="E74" s="149"/>
      <c r="F74" s="115">
        <f>SUM(F72:F73)</f>
        <v>933.8000000000001</v>
      </c>
      <c r="G74" s="116"/>
      <c r="H74" s="58"/>
    </row>
    <row r="75" spans="2:8" ht="12.75">
      <c r="B75" s="57" t="s">
        <v>112</v>
      </c>
      <c r="C75" s="120">
        <f>-MIN(C74,C71)</f>
        <v>-228.768</v>
      </c>
      <c r="D75" s="116"/>
      <c r="E75" s="149"/>
      <c r="F75" s="120">
        <f>-MIN(F74,F71)</f>
        <v>-56.76799999999999</v>
      </c>
      <c r="G75" s="116"/>
      <c r="H75" s="58"/>
    </row>
    <row r="76" spans="2:8" ht="12.75">
      <c r="B76" s="57" t="s">
        <v>109</v>
      </c>
      <c r="C76" s="133">
        <f>SUM(C74+C75)</f>
        <v>321.23199999999997</v>
      </c>
      <c r="D76" s="134">
        <f>SUM(C76*(1-$D$10))</f>
        <v>288.62695199999996</v>
      </c>
      <c r="E76" s="157"/>
      <c r="F76" s="133">
        <f>SUM(F74+F75)</f>
        <v>877.032</v>
      </c>
      <c r="G76" s="134">
        <f>SUM(F76*(1-$D$10))</f>
        <v>788.013252</v>
      </c>
      <c r="H76" s="58"/>
    </row>
    <row r="77" spans="2:8" ht="12.75">
      <c r="B77" s="81" t="s">
        <v>24</v>
      </c>
      <c r="C77" s="135">
        <f>C65+C76</f>
        <v>1821.232</v>
      </c>
      <c r="D77" s="136">
        <f>SUM(D65:D76)</f>
        <v>1636.376952</v>
      </c>
      <c r="E77" s="158"/>
      <c r="F77" s="135">
        <f>F65+F76</f>
        <v>1877.0320000000002</v>
      </c>
      <c r="G77" s="136">
        <f>SUM(G65:G76)</f>
        <v>1686.513252</v>
      </c>
      <c r="H77" s="64"/>
    </row>
    <row r="78" spans="2:8" ht="12.75">
      <c r="B78" s="57" t="s">
        <v>74</v>
      </c>
      <c r="C78" s="125">
        <f>IF($C$11&gt;100000,0,IF($C$11&lt;0,0,$C$11))</f>
        <v>0</v>
      </c>
      <c r="D78" s="126">
        <f>$G$11</f>
        <v>0</v>
      </c>
      <c r="E78" s="153"/>
      <c r="F78" s="125">
        <f>IF($C$14&gt;100000,0,IF($C$14&lt;0,0,$C$14))</f>
        <v>0</v>
      </c>
      <c r="G78" s="126">
        <f>$G$14</f>
        <v>0</v>
      </c>
      <c r="H78" s="58"/>
    </row>
    <row r="79" spans="2:8" ht="13.5" thickBot="1">
      <c r="B79" s="57" t="s">
        <v>73</v>
      </c>
      <c r="C79" s="125">
        <f>IF((C$14*H$14)&gt;100000,0,IF((C$14*H$14)&lt;0,0,(C$14*H$14)))</f>
        <v>0</v>
      </c>
      <c r="D79" s="126">
        <f>IF(C79&lt;0,0,(C79*(1-D$14)))</f>
        <v>0</v>
      </c>
      <c r="E79" s="153"/>
      <c r="F79" s="125">
        <f>IF((C$11*H$11)&gt;100000,0,IF((C$11*H$11)&lt;0,0,(C$11*H$11)))</f>
        <v>0</v>
      </c>
      <c r="G79" s="126">
        <f>IF(F79&lt;0,0,(F79*(1-D$14)))</f>
        <v>0</v>
      </c>
      <c r="H79" s="58"/>
    </row>
    <row r="80" spans="2:8" ht="13.5" thickBot="1">
      <c r="B80" s="82" t="s">
        <v>88</v>
      </c>
      <c r="C80" s="137">
        <f>SUM(C65+C76+C78+C79)</f>
        <v>1821.232</v>
      </c>
      <c r="D80" s="138">
        <f>SUM(D77:D79)</f>
        <v>1636.376952</v>
      </c>
      <c r="E80" s="165">
        <f>C80-D80</f>
        <v>184.8550479999999</v>
      </c>
      <c r="F80" s="137">
        <f>SUM(F65+F76+F78+F79)</f>
        <v>1877.0320000000002</v>
      </c>
      <c r="G80" s="138">
        <f>SUM(G77:G79)</f>
        <v>1686.513252</v>
      </c>
      <c r="H80" s="165">
        <f>F80-G80</f>
        <v>190.5187480000002</v>
      </c>
    </row>
    <row r="81" spans="2:8" ht="12.75">
      <c r="B81" s="113" t="s">
        <v>111</v>
      </c>
      <c r="C81" s="129">
        <f>C65+C78</f>
        <v>1500</v>
      </c>
      <c r="D81" s="130">
        <f>D65+D78</f>
        <v>1347.75</v>
      </c>
      <c r="E81" s="154"/>
      <c r="F81" s="129">
        <f>F65+F78</f>
        <v>1000</v>
      </c>
      <c r="G81" s="130">
        <f>G65+G78</f>
        <v>898.5</v>
      </c>
      <c r="H81" s="114"/>
    </row>
    <row r="82" spans="2:8" ht="13.5" thickBot="1">
      <c r="B82" s="110" t="s">
        <v>90</v>
      </c>
      <c r="C82" s="141">
        <f>C76+C79</f>
        <v>321.23199999999997</v>
      </c>
      <c r="D82" s="142">
        <f>D76+D79</f>
        <v>288.62695199999996</v>
      </c>
      <c r="E82" s="155"/>
      <c r="F82" s="141">
        <f>F76+F79</f>
        <v>877.032</v>
      </c>
      <c r="G82" s="142">
        <f>G76+G79</f>
        <v>788.013252</v>
      </c>
      <c r="H82" s="111"/>
    </row>
    <row r="83" spans="3:7" ht="12.75">
      <c r="C83" s="5"/>
      <c r="D83" s="5"/>
      <c r="E83" s="5"/>
      <c r="F83" s="5"/>
      <c r="G83" s="5"/>
    </row>
    <row r="84" spans="2:9" s="92" customFormat="1" ht="11.25">
      <c r="B84" s="88" t="s">
        <v>128</v>
      </c>
      <c r="C84" s="179"/>
      <c r="D84" s="179" t="s">
        <v>134</v>
      </c>
      <c r="E84" s="89"/>
      <c r="F84" s="89"/>
      <c r="G84" s="90"/>
      <c r="H84" s="103" t="s">
        <v>131</v>
      </c>
      <c r="I84" s="91"/>
    </row>
    <row r="85" spans="3:7" ht="12.75">
      <c r="C85" s="5"/>
      <c r="D85" s="5"/>
      <c r="E85" s="5"/>
      <c r="F85" s="5"/>
      <c r="G85" s="5"/>
    </row>
    <row r="86" spans="3:7" ht="12.75">
      <c r="C86" s="5"/>
      <c r="D86" s="5"/>
      <c r="E86" s="5"/>
      <c r="F86" s="5"/>
      <c r="G86" s="5"/>
    </row>
    <row r="87" spans="2:8" s="93" customFormat="1" ht="14.25">
      <c r="B87" s="201" t="s">
        <v>69</v>
      </c>
      <c r="C87" s="201"/>
      <c r="D87" s="201"/>
      <c r="E87" s="201"/>
      <c r="F87" s="201"/>
      <c r="G87" s="201"/>
      <c r="H87" s="202"/>
    </row>
    <row r="88" spans="3:7" ht="12.75">
      <c r="C88" s="5"/>
      <c r="D88" s="5"/>
      <c r="E88" s="5"/>
      <c r="F88" s="5"/>
      <c r="G88" s="5"/>
    </row>
    <row r="89" spans="2:8" ht="12.75">
      <c r="B89" s="15" t="s">
        <v>34</v>
      </c>
      <c r="C89" s="94"/>
      <c r="D89" s="94"/>
      <c r="E89" s="94"/>
      <c r="F89" s="94"/>
      <c r="G89" s="94"/>
      <c r="H89" s="95"/>
    </row>
    <row r="90" spans="2:8" ht="12.75">
      <c r="B90" s="19" t="s">
        <v>21</v>
      </c>
      <c r="C90" s="5"/>
      <c r="D90" s="5"/>
      <c r="E90" s="5"/>
      <c r="F90" s="5"/>
      <c r="G90" s="5"/>
      <c r="H90" s="23"/>
    </row>
    <row r="91" spans="2:8" ht="12.75">
      <c r="B91" s="19" t="s">
        <v>48</v>
      </c>
      <c r="C91" s="5"/>
      <c r="D91" s="5"/>
      <c r="E91" s="5"/>
      <c r="F91" s="5"/>
      <c r="G91" s="5"/>
      <c r="H91" s="23"/>
    </row>
    <row r="92" spans="2:8" ht="12.75">
      <c r="B92" s="19" t="s">
        <v>49</v>
      </c>
      <c r="C92" s="5"/>
      <c r="D92" s="5"/>
      <c r="E92" s="5"/>
      <c r="F92" s="5"/>
      <c r="G92" s="5"/>
      <c r="H92" s="23"/>
    </row>
    <row r="93" spans="2:8" ht="12.75">
      <c r="B93" s="25" t="s">
        <v>50</v>
      </c>
      <c r="C93" s="26"/>
      <c r="D93" s="26"/>
      <c r="E93" s="26"/>
      <c r="F93" s="26"/>
      <c r="G93" s="26"/>
      <c r="H93" s="28"/>
    </row>
    <row r="94" spans="2:8" ht="12.75">
      <c r="B94" s="15" t="s">
        <v>71</v>
      </c>
      <c r="C94" s="96"/>
      <c r="D94" s="97"/>
      <c r="E94" s="97"/>
      <c r="F94" s="97"/>
      <c r="G94" s="97"/>
      <c r="H94" s="95"/>
    </row>
    <row r="95" spans="2:8" ht="12.75">
      <c r="B95" s="19" t="s">
        <v>51</v>
      </c>
      <c r="H95" s="23"/>
    </row>
    <row r="96" spans="2:8" ht="12.75">
      <c r="B96" s="19" t="s">
        <v>52</v>
      </c>
      <c r="H96" s="23"/>
    </row>
    <row r="97" spans="2:8" ht="12.75">
      <c r="B97" s="19" t="s">
        <v>53</v>
      </c>
      <c r="H97" s="23"/>
    </row>
    <row r="98" spans="2:8" ht="12.75">
      <c r="B98" s="19" t="s">
        <v>75</v>
      </c>
      <c r="H98" s="23"/>
    </row>
    <row r="99" spans="2:8" ht="12.75">
      <c r="B99" s="19" t="s">
        <v>122</v>
      </c>
      <c r="H99" s="23"/>
    </row>
    <row r="100" spans="2:8" ht="12.75">
      <c r="B100" s="19" t="s">
        <v>55</v>
      </c>
      <c r="H100" s="23"/>
    </row>
    <row r="101" spans="2:8" ht="12.75">
      <c r="B101" s="25" t="s">
        <v>54</v>
      </c>
      <c r="C101" s="98"/>
      <c r="D101" s="99"/>
      <c r="E101" s="99"/>
      <c r="F101" s="99"/>
      <c r="G101" s="99"/>
      <c r="H101" s="28"/>
    </row>
    <row r="102" spans="2:8" ht="12.75">
      <c r="B102" s="15" t="s">
        <v>56</v>
      </c>
      <c r="C102" s="96"/>
      <c r="D102" s="97"/>
      <c r="E102" s="97"/>
      <c r="F102" s="97"/>
      <c r="G102" s="97"/>
      <c r="H102" s="95"/>
    </row>
    <row r="103" spans="2:8" ht="12.75">
      <c r="B103" s="35" t="s">
        <v>123</v>
      </c>
      <c r="H103" s="23"/>
    </row>
    <row r="104" spans="2:8" ht="12.75">
      <c r="B104" s="19" t="s">
        <v>17</v>
      </c>
      <c r="H104" s="23"/>
    </row>
    <row r="105" spans="2:8" ht="12.75">
      <c r="B105" s="19" t="s">
        <v>57</v>
      </c>
      <c r="H105" s="23"/>
    </row>
    <row r="106" spans="2:8" ht="12.75">
      <c r="B106" s="19" t="s">
        <v>77</v>
      </c>
      <c r="H106" s="23"/>
    </row>
    <row r="107" spans="2:8" ht="12.75">
      <c r="B107" s="19" t="s">
        <v>58</v>
      </c>
      <c r="H107" s="23"/>
    </row>
    <row r="108" spans="2:8" ht="12.75">
      <c r="B108" s="19" t="s">
        <v>15</v>
      </c>
      <c r="H108" s="23"/>
    </row>
    <row r="109" spans="2:8" ht="12.75">
      <c r="B109" s="19" t="s">
        <v>28</v>
      </c>
      <c r="H109" s="23"/>
    </row>
    <row r="110" spans="2:8" ht="12.75">
      <c r="B110" s="19" t="s">
        <v>59</v>
      </c>
      <c r="H110" s="23"/>
    </row>
    <row r="111" spans="2:8" ht="12.75">
      <c r="B111" s="19" t="s">
        <v>60</v>
      </c>
      <c r="H111" s="23"/>
    </row>
    <row r="112" spans="2:8" ht="12.75">
      <c r="B112" s="19" t="s">
        <v>66</v>
      </c>
      <c r="H112" s="23"/>
    </row>
    <row r="113" spans="2:8" ht="12.75">
      <c r="B113" s="25" t="s">
        <v>61</v>
      </c>
      <c r="C113" s="98"/>
      <c r="D113" s="99"/>
      <c r="E113" s="99"/>
      <c r="F113" s="99"/>
      <c r="G113" s="99"/>
      <c r="H113" s="28"/>
    </row>
    <row r="114" spans="2:8" ht="12.75">
      <c r="B114" s="15" t="s">
        <v>62</v>
      </c>
      <c r="C114" s="96"/>
      <c r="D114" s="97"/>
      <c r="E114" s="97"/>
      <c r="F114" s="97"/>
      <c r="G114" s="97"/>
      <c r="H114" s="95"/>
    </row>
    <row r="115" spans="2:8" ht="12.75">
      <c r="B115" s="19" t="s">
        <v>63</v>
      </c>
      <c r="H115" s="23"/>
    </row>
    <row r="116" spans="2:8" ht="12.75">
      <c r="B116" s="19" t="s">
        <v>67</v>
      </c>
      <c r="H116" s="23"/>
    </row>
    <row r="117" spans="2:8" ht="12.75">
      <c r="B117" s="19" t="s">
        <v>38</v>
      </c>
      <c r="H117" s="23"/>
    </row>
    <row r="118" spans="2:8" ht="12.75">
      <c r="B118" s="19" t="s">
        <v>64</v>
      </c>
      <c r="H118" s="23"/>
    </row>
    <row r="119" spans="2:8" ht="12.75">
      <c r="B119" s="19" t="s">
        <v>37</v>
      </c>
      <c r="H119" s="23"/>
    </row>
    <row r="120" spans="2:8" ht="12.75">
      <c r="B120" s="25" t="s">
        <v>65</v>
      </c>
      <c r="C120" s="98"/>
      <c r="D120" s="99"/>
      <c r="E120" s="99"/>
      <c r="F120" s="99"/>
      <c r="G120" s="99"/>
      <c r="H120" s="28"/>
    </row>
    <row r="121" spans="2:8" ht="12.75">
      <c r="B121" s="31" t="s">
        <v>87</v>
      </c>
      <c r="C121" s="100"/>
      <c r="D121" s="101"/>
      <c r="E121" s="101"/>
      <c r="F121" s="101"/>
      <c r="G121" s="101"/>
      <c r="H121" s="102"/>
    </row>
    <row r="123" spans="2:9" s="92" customFormat="1" ht="11.25">
      <c r="B123" s="88" t="s">
        <v>129</v>
      </c>
      <c r="C123" s="179"/>
      <c r="D123" s="179" t="s">
        <v>134</v>
      </c>
      <c r="E123" s="89"/>
      <c r="F123" s="89"/>
      <c r="G123" s="90"/>
      <c r="H123" s="103" t="s">
        <v>131</v>
      </c>
      <c r="I123" s="91"/>
    </row>
    <row r="126" ht="12.75">
      <c r="G126" s="13"/>
    </row>
  </sheetData>
  <sheetProtection password="F795" sheet="1" objects="1" scenarios="1" selectLockedCells="1"/>
  <mergeCells count="3">
    <mergeCell ref="B87:H87"/>
    <mergeCell ref="B4:H4"/>
    <mergeCell ref="B44:H44"/>
  </mergeCells>
  <printOptions/>
  <pageMargins left="0.7874015748031497" right="1.1811023622047245" top="0.3937007874015748" bottom="0.7874015748031497" header="0.5118110236220472" footer="0.5118110236220472"/>
  <pageSetup fitToHeight="3" horizontalDpi="300" verticalDpi="300" orientation="landscape" paperSize="9" scale="93" r:id="rId4"/>
  <headerFooter alignWithMargins="0">
    <oddHeader>&amp;C
&amp;R
</oddHeader>
  </headerFooter>
  <rowBreaks count="2" manualBreakCount="2">
    <brk id="41" max="7" man="1"/>
    <brk id="84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1" sqref="B4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</dc:creator>
  <cp:keywords/>
  <dc:description/>
  <cp:lastModifiedBy>m</cp:lastModifiedBy>
  <cp:lastPrinted>2011-02-16T21:51:58Z</cp:lastPrinted>
  <dcterms:created xsi:type="dcterms:W3CDTF">2003-03-16T17:17:02Z</dcterms:created>
  <dcterms:modified xsi:type="dcterms:W3CDTF">2011-02-16T21:57:37Z</dcterms:modified>
  <cp:category/>
  <cp:version/>
  <cp:contentType/>
  <cp:contentStatus/>
</cp:coreProperties>
</file>